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uerdo 2024\"/>
    </mc:Choice>
  </mc:AlternateContent>
  <bookViews>
    <workbookView xWindow="-28920" yWindow="-120" windowWidth="29040" windowHeight="15720" activeTab="1"/>
  </bookViews>
  <sheets>
    <sheet name="PART 2024" sheetId="43" r:id="rId1"/>
    <sheet name="Distr" sheetId="51" r:id="rId2"/>
    <sheet name="COEF Art 14 F I" sheetId="1" r:id="rId3"/>
    <sheet name="PISO 2021" sheetId="28" r:id="rId4"/>
    <sheet name="Copete" sheetId="52" r:id="rId5"/>
    <sheet name="COEF Art 14 F II" sheetId="36" r:id="rId6"/>
    <sheet name="Art.14 Frac.III" sheetId="44" r:id="rId7"/>
    <sheet name="ISR BI" sheetId="49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___pre2004" hidden="1">{"'beneficiarios'!$A$1:$C$7"}</definedName>
    <definedName name="____pre2004" hidden="1">{"'beneficiarios'!$A$1:$C$7"}</definedName>
    <definedName name="___pre2004" hidden="1">{"'beneficiarios'!$A$1:$C$7"}</definedName>
    <definedName name="__pre2004" hidden="1">{"'beneficiarios'!$A$1:$C$7"}</definedName>
    <definedName name="_xlnm._FilterDatabase" localSheetId="1" hidden="1">Distr!#REF!</definedName>
    <definedName name="_pre2004" hidden="1">{"'beneficiarios'!$A$1:$C$7"}</definedName>
    <definedName name="A_impresión_IM" localSheetId="5">#REF!</definedName>
    <definedName name="A_impresión_IM" localSheetId="4">#REF!</definedName>
    <definedName name="A_impresión_IM" localSheetId="1">#REF!</definedName>
    <definedName name="A_impresión_IM" localSheetId="7">#REF!</definedName>
    <definedName name="A_impresión_IM" localSheetId="0">#REF!</definedName>
    <definedName name="A_impresión_IM" localSheetId="3">#REF!</definedName>
    <definedName name="A_impresión_IM">#REF!</definedName>
    <definedName name="Adria" hidden="1">{"'beneficiarios'!$A$1:$C$7"}</definedName>
    <definedName name="AJUSTES" localSheetId="4" hidden="1">{"'beneficiarios'!$A$1:$C$7"}</definedName>
    <definedName name="AJUSTES" localSheetId="1" hidden="1">{"'beneficiarios'!$A$1:$C$7"}</definedName>
    <definedName name="AJUSTES" localSheetId="7" hidden="1">{"'beneficiarios'!$A$1:$C$7"}</definedName>
    <definedName name="AJUSTES" localSheetId="0" hidden="1">{"'beneficiarios'!$A$1:$C$7"}</definedName>
    <definedName name="AJUSTES" localSheetId="3" hidden="1">{"'beneficiarios'!$A$1:$C$7"}</definedName>
    <definedName name="AJUSTES" hidden="1">{"'beneficiarios'!$A$1:$C$7"}</definedName>
    <definedName name="_xlnm.Print_Area" localSheetId="6">'Art.14 Frac.III'!$B$1:$R$56</definedName>
    <definedName name="_xlnm.Print_Area" localSheetId="2">'COEF Art 14 F I'!$B$3:$AF$60</definedName>
    <definedName name="_xlnm.Print_Area" localSheetId="5">'COEF Art 14 F II'!$B$3:$N$62</definedName>
    <definedName name="_xlnm.Print_Area" localSheetId="4">Copete!$B$1:$H$60</definedName>
    <definedName name="_xlnm.Print_Area" localSheetId="1">Distr!$B$2:$L$58</definedName>
    <definedName name="_xlnm.Print_Area" localSheetId="7">'ISR BI'!$B$1:$E$55</definedName>
    <definedName name="_xlnm.Print_Area" localSheetId="0">'PART 2024'!$A$1:$F$16</definedName>
    <definedName name="_xlnm.Print_Area" localSheetId="3">'PISO 2021'!$B$1:$J$57</definedName>
    <definedName name="_xlnm.Database" localSheetId="5">#REF!</definedName>
    <definedName name="_xlnm.Database" localSheetId="4">#REF!</definedName>
    <definedName name="_xlnm.Database" localSheetId="1">#REF!</definedName>
    <definedName name="_xlnm.Database" localSheetId="7">#REF!</definedName>
    <definedName name="_xlnm.Database" localSheetId="0">#REF!</definedName>
    <definedName name="_xlnm.Database" localSheetId="3">#REF!</definedName>
    <definedName name="_xlnm.Database">#REF!</definedName>
    <definedName name="cierre_2001" localSheetId="5">'[1]deuda c sadm'!#REF!</definedName>
    <definedName name="cierre_2001" localSheetId="4">'[1]deuda c sadm'!#REF!</definedName>
    <definedName name="cierre_2001" localSheetId="1">'[1]deuda c sadm'!#REF!</definedName>
    <definedName name="cierre_2001" localSheetId="7">'[1]deuda c sadm'!#REF!</definedName>
    <definedName name="cierre_2001" localSheetId="0">'[1]deuda c sadm'!#REF!</definedName>
    <definedName name="cierre_2001">'[1]deuda c sadm'!#REF!</definedName>
    <definedName name="deuda" localSheetId="5">'[1]deuda c sadm'!#REF!</definedName>
    <definedName name="deuda" localSheetId="4">'[1]deuda c sadm'!#REF!</definedName>
    <definedName name="deuda" localSheetId="1">'[1]deuda c sadm'!#REF!</definedName>
    <definedName name="deuda" localSheetId="7">'[1]deuda c sadm'!#REF!</definedName>
    <definedName name="deuda" localSheetId="0">'[1]deuda c sadm'!#REF!</definedName>
    <definedName name="deuda">'[1]deuda c sadm'!#REF!</definedName>
    <definedName name="Deuda_ingTot" localSheetId="5">'[1]deuda c sadm'!#REF!</definedName>
    <definedName name="Deuda_ingTot" localSheetId="4">'[1]deuda c sadm'!#REF!</definedName>
    <definedName name="Deuda_ingTot" localSheetId="1">'[1]deuda c sadm'!#REF!</definedName>
    <definedName name="Deuda_ingTot" localSheetId="7">'[1]deuda c sadm'!#REF!</definedName>
    <definedName name="Deuda_ingTot" localSheetId="0">'[1]deuda c sadm'!#REF!</definedName>
    <definedName name="Deuda_ingTot">'[1]deuda c sadm'!#REF!</definedName>
    <definedName name="eeee" hidden="1">{"'beneficiarios'!$A$1:$C$7"}</definedName>
    <definedName name="ENERO" localSheetId="5">#REF!</definedName>
    <definedName name="ENERO" localSheetId="4">#REF!</definedName>
    <definedName name="ENERO" localSheetId="1">#REF!</definedName>
    <definedName name="ENERO" localSheetId="7">#REF!</definedName>
    <definedName name="ENERO" localSheetId="0">#REF!</definedName>
    <definedName name="ENERO" localSheetId="3">#REF!</definedName>
    <definedName name="ENERO">#REF!</definedName>
    <definedName name="ENEROAJUSTE" localSheetId="4">#REF!</definedName>
    <definedName name="ENEROAJUSTE" localSheetId="1">#REF!</definedName>
    <definedName name="ENEROAJUSTE" localSheetId="7">#REF!</definedName>
    <definedName name="ENEROAJUSTE" localSheetId="0">#REF!</definedName>
    <definedName name="ENEROAJUSTE">#REF!</definedName>
    <definedName name="Estado">'[2]Compendio de nombres'!$C$2:$C$33</definedName>
    <definedName name="Estado1" localSheetId="4">#REF!</definedName>
    <definedName name="Estado1" localSheetId="1">#REF!</definedName>
    <definedName name="Estado1" localSheetId="7">#REF!</definedName>
    <definedName name="Estado1">#REF!</definedName>
    <definedName name="ewee" hidden="1">{"'beneficiarios'!$A$1:$C$7"}</definedName>
    <definedName name="Fto_1" localSheetId="5">#REF!</definedName>
    <definedName name="Fto_1" localSheetId="4">#REF!</definedName>
    <definedName name="Fto_1" localSheetId="1">#REF!</definedName>
    <definedName name="Fto_1" localSheetId="7">#REF!</definedName>
    <definedName name="Fto_1" localSheetId="0">#REF!</definedName>
    <definedName name="Fto_1" localSheetId="3">#REF!</definedName>
    <definedName name="Fto_1">#REF!</definedName>
    <definedName name="HTML_CodePage" hidden="1">1252</definedName>
    <definedName name="HTML_Control" localSheetId="4" hidden="1">{"'beneficiarios'!$A$1:$C$7"}</definedName>
    <definedName name="HTML_Control" localSheetId="1" hidden="1">{"'beneficiarios'!$A$1:$C$7"}</definedName>
    <definedName name="HTML_Control" localSheetId="7" hidden="1">{"'beneficiarios'!$A$1:$C$7"}</definedName>
    <definedName name="HTML_Control" localSheetId="0" hidden="1">{"'beneficiarios'!$A$1:$C$7"}</definedName>
    <definedName name="HTML_Control" localSheetId="3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4" hidden="1">{"'beneficiarios'!$A$1:$C$7"}</definedName>
    <definedName name="INDICADORES" localSheetId="1" hidden="1">{"'beneficiarios'!$A$1:$C$7"}</definedName>
    <definedName name="INDICADORES" localSheetId="7" hidden="1">{"'beneficiarios'!$A$1:$C$7"}</definedName>
    <definedName name="INDICADORES" localSheetId="0" hidden="1">{"'beneficiarios'!$A$1:$C$7"}</definedName>
    <definedName name="INDICADORES" localSheetId="3" hidden="1">{"'beneficiarios'!$A$1:$C$7"}</definedName>
    <definedName name="INDICADORES" hidden="1">{"'beneficiarios'!$A$1:$C$7"}</definedName>
    <definedName name="ingresofederales" localSheetId="4" hidden="1">{"'beneficiarios'!$A$1:$C$7"}</definedName>
    <definedName name="ingresofederales" localSheetId="1" hidden="1">{"'beneficiarios'!$A$1:$C$7"}</definedName>
    <definedName name="ingresofederales" localSheetId="7" hidden="1">{"'beneficiarios'!$A$1:$C$7"}</definedName>
    <definedName name="ingresofederales" localSheetId="0" hidden="1">{"'beneficiarios'!$A$1:$C$7"}</definedName>
    <definedName name="ingresofederales" localSheetId="3" hidden="1">{"'beneficiarios'!$A$1:$C$7"}</definedName>
    <definedName name="ingresofederales" hidden="1">{"'beneficiarios'!$A$1:$C$7"}</definedName>
    <definedName name="MUNICIPIOS" localSheetId="6">[3]IMPORTE!$A$3:$A$53</definedName>
    <definedName name="MUNICIPIOS" localSheetId="7" hidden="1">{"'beneficiarios'!$A$1:$C$7"}</definedName>
    <definedName name="MUNICIPIOS" hidden="1">{"'beneficiarios'!$A$1:$C$7"}</definedName>
    <definedName name="Notas_Fto_1" localSheetId="5">#REF!</definedName>
    <definedName name="Notas_Fto_1" localSheetId="4">#REF!</definedName>
    <definedName name="Notas_Fto_1" localSheetId="1">#REF!</definedName>
    <definedName name="Notas_Fto_1" localSheetId="7">#REF!</definedName>
    <definedName name="Notas_Fto_1" localSheetId="0">#REF!</definedName>
    <definedName name="Notas_Fto_1">#REF!</definedName>
    <definedName name="nument">[4]Hoja1!$C$1</definedName>
    <definedName name="numnivel">[4]Hoja1!$G$1</definedName>
    <definedName name="Partidas">[5]TECHO!$B$1:$Q$2798</definedName>
    <definedName name="PRONGPOS">[4]GRUPOS!#REF!</definedName>
    <definedName name="Reclasificado2006" hidden="1">{"'beneficiarios'!$A$1:$C$7"}</definedName>
    <definedName name="SINAJUSTE" localSheetId="4" hidden="1">{"'beneficiarios'!$A$1:$C$7"}</definedName>
    <definedName name="SINAJUSTE" localSheetId="1" hidden="1">{"'beneficiarios'!$A$1:$C$7"}</definedName>
    <definedName name="SINAJUSTE" localSheetId="7" hidden="1">{"'beneficiarios'!$A$1:$C$7"}</definedName>
    <definedName name="SINAJUSTE" localSheetId="0" hidden="1">{"'beneficiarios'!$A$1:$C$7"}</definedName>
    <definedName name="SINAJUSTE" localSheetId="3" hidden="1">{"'beneficiarios'!$A$1:$C$7"}</definedName>
    <definedName name="SINAJUSTE" hidden="1">{"'beneficiarios'!$A$1:$C$7"}</definedName>
    <definedName name="t" localSheetId="4">#REF!</definedName>
    <definedName name="t" localSheetId="1">#REF!</definedName>
    <definedName name="t" localSheetId="7">#REF!</definedName>
    <definedName name="t" localSheetId="0">#REF!</definedName>
    <definedName name="t">#REF!</definedName>
    <definedName name="_xlnm.Print_Titles" localSheetId="2">'COEF Art 14 F I'!$B:$B,'COEF Art 14 F I'!$3:$3</definedName>
    <definedName name="_xlnm.Print_Titles" localSheetId="1">Distr!$B:$B</definedName>
    <definedName name="TOT" localSheetId="5">#REF!</definedName>
    <definedName name="TOT" localSheetId="4">#REF!</definedName>
    <definedName name="TOT" localSheetId="1">#REF!</definedName>
    <definedName name="TOT" localSheetId="7">#REF!</definedName>
    <definedName name="TOT" localSheetId="0">#REF!</definedName>
    <definedName name="TOT">#REF!</definedName>
    <definedName name="TOTAL" localSheetId="5">#REF!</definedName>
    <definedName name="TOTAL" localSheetId="4">#REF!</definedName>
    <definedName name="TOTAL" localSheetId="1">#REF!</definedName>
    <definedName name="TOTAL" localSheetId="7">#REF!</definedName>
    <definedName name="TOTAL" localSheetId="0">#REF!</definedName>
    <definedName name="TOTAL">#REF!</definedName>
    <definedName name="wrn.a." hidden="1">{"DIRECTA",#N/A,FALSE,"SHCP397";"INDIRECTA",#N/A,FALSE,"SHCP397";"Noregistrada",#N/A,FALSE,"SHCP397"}</definedName>
    <definedName name="xxx" hidden="1">{"'beneficiarios'!$A$1:$C$7"}</definedName>
  </definedNames>
  <calcPr calcId="191029"/>
</workbook>
</file>

<file path=xl/calcChain.xml><?xml version="1.0" encoding="utf-8"?>
<calcChain xmlns="http://schemas.openxmlformats.org/spreadsheetml/2006/main">
  <c r="AE5" i="1" l="1"/>
  <c r="F5" i="43"/>
  <c r="F6" i="43"/>
  <c r="F7" i="43"/>
  <c r="F8" i="43"/>
  <c r="F9" i="43"/>
  <c r="F4" i="43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/>
  <c r="J41" i="28"/>
  <c r="J42" i="28"/>
  <c r="J43" i="28"/>
  <c r="J44" i="28"/>
  <c r="J45" i="28"/>
  <c r="J46" i="28"/>
  <c r="J47" i="28"/>
  <c r="J48" i="28"/>
  <c r="J49" i="28"/>
  <c r="J50" i="28"/>
  <c r="J51" i="28"/>
  <c r="J52" i="28"/>
  <c r="J53" i="28"/>
  <c r="J54" i="28"/>
  <c r="J55" i="28"/>
  <c r="J56" i="28"/>
  <c r="J6" i="28"/>
  <c r="B10" i="43" l="1"/>
  <c r="I7" i="28" l="1"/>
  <c r="I8" i="28"/>
  <c r="I9" i="28"/>
  <c r="I10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6" i="28"/>
  <c r="J57" i="28"/>
  <c r="D44" i="44" l="1"/>
  <c r="D45" i="44"/>
  <c r="D46" i="44"/>
  <c r="D47" i="44"/>
  <c r="D48" i="44"/>
  <c r="D49" i="44"/>
  <c r="D50" i="44"/>
  <c r="D51" i="44"/>
  <c r="D52" i="44"/>
  <c r="D53" i="44"/>
  <c r="D54" i="44"/>
  <c r="D55" i="44"/>
  <c r="D6" i="44"/>
  <c r="D7" i="44"/>
  <c r="D8" i="44"/>
  <c r="D9" i="44"/>
  <c r="D10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5" i="44"/>
  <c r="B14" i="43" l="1"/>
  <c r="B15" i="43" l="1"/>
  <c r="I57" i="28" l="1"/>
  <c r="E10" i="43" l="1"/>
  <c r="E15" i="43" s="1"/>
  <c r="D13" i="43" l="1"/>
  <c r="C55" i="49"/>
  <c r="D54" i="49" s="1"/>
  <c r="E54" i="49" l="1"/>
  <c r="K56" i="51" s="1"/>
  <c r="D19" i="49"/>
  <c r="E19" i="49" s="1"/>
  <c r="K21" i="51" s="1"/>
  <c r="D31" i="49"/>
  <c r="E31" i="49" s="1"/>
  <c r="K33" i="51" s="1"/>
  <c r="D9" i="49"/>
  <c r="E9" i="49" s="1"/>
  <c r="K11" i="51" s="1"/>
  <c r="D21" i="49"/>
  <c r="E21" i="49" s="1"/>
  <c r="K23" i="51" s="1"/>
  <c r="D33" i="49"/>
  <c r="E33" i="49" s="1"/>
  <c r="K35" i="51" s="1"/>
  <c r="D39" i="49"/>
  <c r="E39" i="49" s="1"/>
  <c r="K41" i="51" s="1"/>
  <c r="D45" i="49"/>
  <c r="E45" i="49" s="1"/>
  <c r="K47" i="51" s="1"/>
  <c r="D51" i="49"/>
  <c r="E51" i="49" s="1"/>
  <c r="K53" i="51" s="1"/>
  <c r="D13" i="49"/>
  <c r="E13" i="49" s="1"/>
  <c r="K15" i="51" s="1"/>
  <c r="D25" i="49"/>
  <c r="E25" i="49" s="1"/>
  <c r="K27" i="51" s="1"/>
  <c r="D37" i="49"/>
  <c r="E37" i="49" s="1"/>
  <c r="K39" i="51" s="1"/>
  <c r="D43" i="49"/>
  <c r="E43" i="49" s="1"/>
  <c r="K45" i="51" s="1"/>
  <c r="D49" i="49"/>
  <c r="E49" i="49" s="1"/>
  <c r="K51" i="51" s="1"/>
  <c r="D8" i="49"/>
  <c r="E8" i="49" s="1"/>
  <c r="K10" i="51" s="1"/>
  <c r="D20" i="49"/>
  <c r="E20" i="49" s="1"/>
  <c r="D32" i="49"/>
  <c r="E32" i="49" s="1"/>
  <c r="K34" i="51" s="1"/>
  <c r="D38" i="49"/>
  <c r="E38" i="49" s="1"/>
  <c r="K40" i="51" s="1"/>
  <c r="D44" i="49"/>
  <c r="E44" i="49" s="1"/>
  <c r="K46" i="51" s="1"/>
  <c r="D50" i="49"/>
  <c r="E50" i="49" s="1"/>
  <c r="K52" i="51" s="1"/>
  <c r="D15" i="49"/>
  <c r="E15" i="49" s="1"/>
  <c r="K17" i="51" s="1"/>
  <c r="D27" i="49"/>
  <c r="E27" i="49" s="1"/>
  <c r="K29" i="51" s="1"/>
  <c r="D26" i="49"/>
  <c r="E26" i="49" s="1"/>
  <c r="K28" i="51" s="1"/>
  <c r="D10" i="49"/>
  <c r="E10" i="49" s="1"/>
  <c r="K12" i="51" s="1"/>
  <c r="D22" i="49"/>
  <c r="E22" i="49" s="1"/>
  <c r="K24" i="51" s="1"/>
  <c r="D34" i="49"/>
  <c r="E34" i="49" s="1"/>
  <c r="K36" i="51" s="1"/>
  <c r="D46" i="49"/>
  <c r="E46" i="49" s="1"/>
  <c r="K48" i="51" s="1"/>
  <c r="D11" i="49"/>
  <c r="E11" i="49" s="1"/>
  <c r="K13" i="51" s="1"/>
  <c r="D35" i="49"/>
  <c r="E35" i="49" s="1"/>
  <c r="K37" i="51" s="1"/>
  <c r="D7" i="49"/>
  <c r="E7" i="49" s="1"/>
  <c r="K9" i="51" s="1"/>
  <c r="D14" i="49"/>
  <c r="E14" i="49" s="1"/>
  <c r="K16" i="51" s="1"/>
  <c r="D4" i="49"/>
  <c r="E4" i="49" s="1"/>
  <c r="K6" i="51" s="1"/>
  <c r="D16" i="49"/>
  <c r="E16" i="49" s="1"/>
  <c r="K18" i="51" s="1"/>
  <c r="D28" i="49"/>
  <c r="E28" i="49" s="1"/>
  <c r="K30" i="51" s="1"/>
  <c r="D40" i="49"/>
  <c r="E40" i="49" s="1"/>
  <c r="K42" i="51" s="1"/>
  <c r="D52" i="49"/>
  <c r="E52" i="49" s="1"/>
  <c r="K54" i="51" s="1"/>
  <c r="D5" i="49"/>
  <c r="E5" i="49" s="1"/>
  <c r="K7" i="51" s="1"/>
  <c r="D17" i="49"/>
  <c r="E17" i="49" s="1"/>
  <c r="K19" i="51" s="1"/>
  <c r="D23" i="49"/>
  <c r="E23" i="49" s="1"/>
  <c r="K25" i="51" s="1"/>
  <c r="D29" i="49"/>
  <c r="E29" i="49" s="1"/>
  <c r="K31" i="51" s="1"/>
  <c r="D41" i="49"/>
  <c r="E41" i="49" s="1"/>
  <c r="K43" i="51" s="1"/>
  <c r="D47" i="49"/>
  <c r="E47" i="49" s="1"/>
  <c r="K49" i="51" s="1"/>
  <c r="D53" i="49"/>
  <c r="E53" i="49" s="1"/>
  <c r="K55" i="51" s="1"/>
  <c r="D6" i="49"/>
  <c r="E6" i="49" s="1"/>
  <c r="K8" i="51" s="1"/>
  <c r="D12" i="49"/>
  <c r="E12" i="49" s="1"/>
  <c r="K14" i="51" s="1"/>
  <c r="D18" i="49"/>
  <c r="E18" i="49" s="1"/>
  <c r="K20" i="51" s="1"/>
  <c r="D24" i="49"/>
  <c r="E24" i="49" s="1"/>
  <c r="K26" i="51" s="1"/>
  <c r="D30" i="49"/>
  <c r="E30" i="49" s="1"/>
  <c r="K32" i="51" s="1"/>
  <c r="D36" i="49"/>
  <c r="E36" i="49" s="1"/>
  <c r="K38" i="51" s="1"/>
  <c r="D42" i="49"/>
  <c r="E42" i="49" s="1"/>
  <c r="K44" i="51" s="1"/>
  <c r="D48" i="49"/>
  <c r="E48" i="49" s="1"/>
  <c r="K50" i="51" s="1"/>
  <c r="K22" i="51" l="1"/>
  <c r="K57" i="51" s="1"/>
  <c r="D55" i="49"/>
  <c r="E55" i="49" l="1"/>
  <c r="Q58" i="1"/>
  <c r="P58" i="1"/>
  <c r="R39" i="1" s="1"/>
  <c r="S39" i="1" s="1"/>
  <c r="O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R9" i="1" l="1"/>
  <c r="S9" i="1" s="1"/>
  <c r="R21" i="1"/>
  <c r="S21" i="1" s="1"/>
  <c r="R55" i="1"/>
  <c r="S55" i="1" s="1"/>
  <c r="R56" i="1"/>
  <c r="S56" i="1" s="1"/>
  <c r="R52" i="1"/>
  <c r="S52" i="1" s="1"/>
  <c r="R48" i="1"/>
  <c r="S48" i="1" s="1"/>
  <c r="R44" i="1"/>
  <c r="S44" i="1" s="1"/>
  <c r="R40" i="1"/>
  <c r="S40" i="1" s="1"/>
  <c r="R36" i="1"/>
  <c r="S36" i="1" s="1"/>
  <c r="R32" i="1"/>
  <c r="S32" i="1" s="1"/>
  <c r="R28" i="1"/>
  <c r="S28" i="1" s="1"/>
  <c r="R24" i="1"/>
  <c r="S24" i="1" s="1"/>
  <c r="R20" i="1"/>
  <c r="S20" i="1" s="1"/>
  <c r="R16" i="1"/>
  <c r="S16" i="1" s="1"/>
  <c r="R12" i="1"/>
  <c r="S12" i="1" s="1"/>
  <c r="R8" i="1"/>
  <c r="S8" i="1" s="1"/>
  <c r="R57" i="1"/>
  <c r="S57" i="1" s="1"/>
  <c r="R41" i="1"/>
  <c r="S41" i="1" s="1"/>
  <c r="R53" i="1"/>
  <c r="S53" i="1" s="1"/>
  <c r="R49" i="1"/>
  <c r="S49" i="1" s="1"/>
  <c r="R45" i="1"/>
  <c r="S45" i="1" s="1"/>
  <c r="R37" i="1"/>
  <c r="S37" i="1" s="1"/>
  <c r="R33" i="1"/>
  <c r="S33" i="1" s="1"/>
  <c r="R54" i="1"/>
  <c r="S54" i="1" s="1"/>
  <c r="R50" i="1"/>
  <c r="S50" i="1" s="1"/>
  <c r="R46" i="1"/>
  <c r="S46" i="1" s="1"/>
  <c r="R42" i="1"/>
  <c r="S42" i="1" s="1"/>
  <c r="R38" i="1"/>
  <c r="S38" i="1" s="1"/>
  <c r="R34" i="1"/>
  <c r="S34" i="1" s="1"/>
  <c r="R30" i="1"/>
  <c r="S30" i="1" s="1"/>
  <c r="R26" i="1"/>
  <c r="S26" i="1" s="1"/>
  <c r="R22" i="1"/>
  <c r="S22" i="1" s="1"/>
  <c r="R18" i="1"/>
  <c r="S18" i="1" s="1"/>
  <c r="R14" i="1"/>
  <c r="S14" i="1" s="1"/>
  <c r="R10" i="1"/>
  <c r="S10" i="1" s="1"/>
  <c r="R7" i="1"/>
  <c r="R19" i="1"/>
  <c r="S19" i="1" s="1"/>
  <c r="R31" i="1"/>
  <c r="S31" i="1" s="1"/>
  <c r="R43" i="1"/>
  <c r="S43" i="1" s="1"/>
  <c r="V58" i="1"/>
  <c r="W39" i="1" s="1"/>
  <c r="R17" i="1"/>
  <c r="S17" i="1" s="1"/>
  <c r="R29" i="1"/>
  <c r="S29" i="1" s="1"/>
  <c r="R15" i="1"/>
  <c r="S15" i="1" s="1"/>
  <c r="R47" i="1"/>
  <c r="S47" i="1" s="1"/>
  <c r="W50" i="1"/>
  <c r="R13" i="1"/>
  <c r="S13" i="1" s="1"/>
  <c r="R25" i="1"/>
  <c r="S25" i="1" s="1"/>
  <c r="R51" i="1"/>
  <c r="S51" i="1" s="1"/>
  <c r="R27" i="1"/>
  <c r="S27" i="1" s="1"/>
  <c r="R35" i="1"/>
  <c r="S35" i="1" s="1"/>
  <c r="R11" i="1"/>
  <c r="S11" i="1" s="1"/>
  <c r="R23" i="1"/>
  <c r="S23" i="1" s="1"/>
  <c r="W48" i="1" l="1"/>
  <c r="W38" i="1"/>
  <c r="W36" i="1"/>
  <c r="W24" i="1"/>
  <c r="W34" i="1"/>
  <c r="W12" i="1"/>
  <c r="W30" i="1"/>
  <c r="W54" i="1"/>
  <c r="W42" i="1"/>
  <c r="W56" i="1"/>
  <c r="W52" i="1"/>
  <c r="W16" i="1"/>
  <c r="W18" i="1"/>
  <c r="W20" i="1"/>
  <c r="R58" i="1"/>
  <c r="S7" i="1"/>
  <c r="W32" i="1"/>
  <c r="W8" i="1"/>
  <c r="W28" i="1"/>
  <c r="W11" i="1"/>
  <c r="W22" i="1"/>
  <c r="W44" i="1"/>
  <c r="W46" i="1"/>
  <c r="W55" i="1"/>
  <c r="W27" i="1"/>
  <c r="W26" i="1"/>
  <c r="W23" i="1"/>
  <c r="W40" i="1"/>
  <c r="W10" i="1"/>
  <c r="W51" i="1"/>
  <c r="W14" i="1"/>
  <c r="W35" i="1"/>
  <c r="W25" i="1"/>
  <c r="W13" i="1"/>
  <c r="W53" i="1"/>
  <c r="W17" i="1"/>
  <c r="W57" i="1"/>
  <c r="W41" i="1"/>
  <c r="W29" i="1"/>
  <c r="W43" i="1"/>
  <c r="W37" i="1"/>
  <c r="W31" i="1"/>
  <c r="W19" i="1"/>
  <c r="W7" i="1"/>
  <c r="W45" i="1"/>
  <c r="W49" i="1"/>
  <c r="W21" i="1"/>
  <c r="W9" i="1"/>
  <c r="W33" i="1"/>
  <c r="W15" i="1"/>
  <c r="W47" i="1"/>
  <c r="W58" i="1" l="1"/>
  <c r="S58" i="1"/>
  <c r="T7" i="1" s="1"/>
  <c r="T21" i="1" l="1"/>
  <c r="T9" i="1"/>
  <c r="T39" i="1"/>
  <c r="T55" i="1"/>
  <c r="T28" i="1"/>
  <c r="T13" i="1"/>
  <c r="T49" i="1"/>
  <c r="T57" i="1"/>
  <c r="T19" i="1"/>
  <c r="T40" i="1"/>
  <c r="T52" i="1"/>
  <c r="T18" i="1"/>
  <c r="T46" i="1"/>
  <c r="T16" i="1"/>
  <c r="T54" i="1"/>
  <c r="T35" i="1"/>
  <c r="T45" i="1"/>
  <c r="T24" i="1"/>
  <c r="T25" i="1"/>
  <c r="T36" i="1"/>
  <c r="T30" i="1"/>
  <c r="T26" i="1"/>
  <c r="T11" i="1"/>
  <c r="T29" i="1"/>
  <c r="T38" i="1"/>
  <c r="T31" i="1"/>
  <c r="T14" i="1"/>
  <c r="T53" i="1"/>
  <c r="T48" i="1"/>
  <c r="T41" i="1"/>
  <c r="T8" i="1"/>
  <c r="T37" i="1"/>
  <c r="T42" i="1"/>
  <c r="T44" i="1"/>
  <c r="T56" i="1"/>
  <c r="T15" i="1"/>
  <c r="T12" i="1"/>
  <c r="T32" i="1"/>
  <c r="T50" i="1"/>
  <c r="T47" i="1"/>
  <c r="T23" i="1"/>
  <c r="T20" i="1"/>
  <c r="T10" i="1"/>
  <c r="T17" i="1"/>
  <c r="T43" i="1"/>
  <c r="T51" i="1"/>
  <c r="T33" i="1"/>
  <c r="T27" i="1"/>
  <c r="T22" i="1"/>
  <c r="T34" i="1"/>
  <c r="T58" i="1" l="1"/>
  <c r="D12" i="43" l="1"/>
  <c r="D9" i="43"/>
  <c r="D8" i="43"/>
  <c r="D7" i="43"/>
  <c r="D6" i="43"/>
  <c r="D11" i="43"/>
  <c r="D5" i="43"/>
  <c r="H57" i="28"/>
  <c r="G57" i="28"/>
  <c r="F57" i="28"/>
  <c r="E57" i="28"/>
  <c r="D57" i="28"/>
  <c r="C57" i="28"/>
  <c r="M5" i="36" l="1"/>
  <c r="Q3" i="44"/>
  <c r="D14" i="43"/>
  <c r="D4" i="43"/>
  <c r="D10" i="43" s="1"/>
  <c r="D15" i="43" l="1"/>
  <c r="F10" i="43" l="1"/>
  <c r="E5" i="44"/>
  <c r="H5" i="44"/>
  <c r="I5" i="44" s="1"/>
  <c r="E6" i="44"/>
  <c r="H6" i="44"/>
  <c r="I6" i="44" s="1"/>
  <c r="E7" i="44"/>
  <c r="H7" i="44"/>
  <c r="I7" i="44" s="1"/>
  <c r="E8" i="44"/>
  <c r="H8" i="44"/>
  <c r="I8" i="44" s="1"/>
  <c r="E9" i="44"/>
  <c r="H9" i="44"/>
  <c r="I9" i="44" s="1"/>
  <c r="E10" i="44"/>
  <c r="H10" i="44"/>
  <c r="I10" i="44" s="1"/>
  <c r="E11" i="44"/>
  <c r="H11" i="44"/>
  <c r="I11" i="44" s="1"/>
  <c r="E12" i="44"/>
  <c r="H12" i="44"/>
  <c r="I12" i="44" s="1"/>
  <c r="E13" i="44"/>
  <c r="H13" i="44"/>
  <c r="I13" i="44" s="1"/>
  <c r="E14" i="44"/>
  <c r="H14" i="44"/>
  <c r="I14" i="44" s="1"/>
  <c r="E15" i="44"/>
  <c r="H15" i="44"/>
  <c r="I15" i="44" s="1"/>
  <c r="E16" i="44"/>
  <c r="H16" i="44"/>
  <c r="I16" i="44" s="1"/>
  <c r="E17" i="44"/>
  <c r="H17" i="44"/>
  <c r="I17" i="44" s="1"/>
  <c r="E18" i="44"/>
  <c r="H18" i="44"/>
  <c r="I18" i="44" s="1"/>
  <c r="E19" i="44"/>
  <c r="H19" i="44"/>
  <c r="I19" i="44" s="1"/>
  <c r="E20" i="44"/>
  <c r="H20" i="44"/>
  <c r="I20" i="44" s="1"/>
  <c r="E21" i="44"/>
  <c r="H21" i="44"/>
  <c r="I21" i="44" s="1"/>
  <c r="E22" i="44"/>
  <c r="H22" i="44"/>
  <c r="I22" i="44" s="1"/>
  <c r="E23" i="44"/>
  <c r="H23" i="44"/>
  <c r="I23" i="44" s="1"/>
  <c r="E24" i="44"/>
  <c r="H24" i="44"/>
  <c r="I24" i="44" s="1"/>
  <c r="E25" i="44"/>
  <c r="H25" i="44"/>
  <c r="I25" i="44" s="1"/>
  <c r="E26" i="44"/>
  <c r="H26" i="44"/>
  <c r="I26" i="44" s="1"/>
  <c r="E27" i="44"/>
  <c r="H27" i="44"/>
  <c r="I27" i="44" s="1"/>
  <c r="E28" i="44"/>
  <c r="H28" i="44"/>
  <c r="I28" i="44" s="1"/>
  <c r="E29" i="44"/>
  <c r="H29" i="44"/>
  <c r="I29" i="44" s="1"/>
  <c r="E30" i="44"/>
  <c r="H30" i="44"/>
  <c r="I30" i="44" s="1"/>
  <c r="E31" i="44"/>
  <c r="H31" i="44"/>
  <c r="I31" i="44" s="1"/>
  <c r="E32" i="44"/>
  <c r="H32" i="44"/>
  <c r="I32" i="44" s="1"/>
  <c r="E33" i="44"/>
  <c r="H33" i="44"/>
  <c r="I33" i="44" s="1"/>
  <c r="E34" i="44"/>
  <c r="H34" i="44"/>
  <c r="I34" i="44" s="1"/>
  <c r="E35" i="44"/>
  <c r="H35" i="44"/>
  <c r="I35" i="44" s="1"/>
  <c r="E36" i="44"/>
  <c r="H36" i="44"/>
  <c r="I36" i="44" s="1"/>
  <c r="E37" i="44"/>
  <c r="H37" i="44"/>
  <c r="I37" i="44" s="1"/>
  <c r="E38" i="44"/>
  <c r="H38" i="44"/>
  <c r="I38" i="44" s="1"/>
  <c r="E39" i="44"/>
  <c r="H39" i="44"/>
  <c r="I39" i="44" s="1"/>
  <c r="E40" i="44"/>
  <c r="H40" i="44"/>
  <c r="I40" i="44" s="1"/>
  <c r="E41" i="44"/>
  <c r="H41" i="44"/>
  <c r="I41" i="44" s="1"/>
  <c r="E42" i="44"/>
  <c r="H42" i="44"/>
  <c r="I42" i="44" s="1"/>
  <c r="E43" i="44"/>
  <c r="H43" i="44"/>
  <c r="I43" i="44" s="1"/>
  <c r="E44" i="44"/>
  <c r="H44" i="44"/>
  <c r="I44" i="44" s="1"/>
  <c r="E45" i="44"/>
  <c r="H45" i="44"/>
  <c r="I45" i="44" s="1"/>
  <c r="E46" i="44"/>
  <c r="H46" i="44"/>
  <c r="I46" i="44" s="1"/>
  <c r="E47" i="44"/>
  <c r="H47" i="44"/>
  <c r="I47" i="44" s="1"/>
  <c r="E48" i="44"/>
  <c r="H48" i="44"/>
  <c r="I48" i="44" s="1"/>
  <c r="E49" i="44"/>
  <c r="H49" i="44"/>
  <c r="I49" i="44" s="1"/>
  <c r="E50" i="44"/>
  <c r="H50" i="44"/>
  <c r="I50" i="44" s="1"/>
  <c r="E51" i="44"/>
  <c r="H51" i="44"/>
  <c r="I51" i="44" s="1"/>
  <c r="E52" i="44"/>
  <c r="H52" i="44"/>
  <c r="I52" i="44" s="1"/>
  <c r="E53" i="44"/>
  <c r="H53" i="44"/>
  <c r="I53" i="44" s="1"/>
  <c r="E54" i="44"/>
  <c r="H54" i="44"/>
  <c r="I54" i="44" s="1"/>
  <c r="E55" i="44"/>
  <c r="H55" i="44"/>
  <c r="I55" i="44" s="1"/>
  <c r="C56" i="44"/>
  <c r="D56" i="44"/>
  <c r="K55" i="44" s="1"/>
  <c r="G56" i="44"/>
  <c r="F15" i="43" l="1"/>
  <c r="E56" i="44"/>
  <c r="F54" i="44" s="1"/>
  <c r="I56" i="44"/>
  <c r="J54" i="44" s="1"/>
  <c r="K54" i="44"/>
  <c r="K5" i="44"/>
  <c r="K6" i="44"/>
  <c r="K7" i="44"/>
  <c r="K8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K35" i="44"/>
  <c r="K36" i="44"/>
  <c r="K37" i="44"/>
  <c r="K38" i="44"/>
  <c r="K39" i="44"/>
  <c r="K40" i="44"/>
  <c r="K41" i="44"/>
  <c r="K53" i="44"/>
  <c r="K52" i="44"/>
  <c r="K51" i="44"/>
  <c r="K50" i="44"/>
  <c r="K49" i="44"/>
  <c r="K48" i="44"/>
  <c r="K47" i="44"/>
  <c r="K46" i="44"/>
  <c r="K45" i="44"/>
  <c r="K44" i="44"/>
  <c r="K43" i="44"/>
  <c r="K42" i="44"/>
  <c r="J14" i="44" l="1"/>
  <c r="J9" i="44"/>
  <c r="J16" i="44"/>
  <c r="J20" i="44"/>
  <c r="J26" i="44"/>
  <c r="J28" i="44"/>
  <c r="J30" i="44"/>
  <c r="J32" i="44"/>
  <c r="J34" i="44"/>
  <c r="J5" i="44"/>
  <c r="J36" i="44"/>
  <c r="J7" i="44"/>
  <c r="J38" i="44"/>
  <c r="J18" i="44"/>
  <c r="F8" i="44"/>
  <c r="F10" i="44"/>
  <c r="F18" i="44"/>
  <c r="F32" i="44"/>
  <c r="F52" i="44"/>
  <c r="F36" i="44"/>
  <c r="F14" i="44"/>
  <c r="F50" i="44"/>
  <c r="F6" i="44"/>
  <c r="F23" i="44"/>
  <c r="F25" i="44"/>
  <c r="F34" i="44"/>
  <c r="F27" i="44"/>
  <c r="F12" i="44"/>
  <c r="F38" i="44"/>
  <c r="F40" i="44"/>
  <c r="F16" i="44"/>
  <c r="F42" i="44"/>
  <c r="F44" i="44"/>
  <c r="F46" i="44"/>
  <c r="F48" i="44"/>
  <c r="F21" i="44"/>
  <c r="F30" i="44"/>
  <c r="J11" i="44"/>
  <c r="J22" i="44"/>
  <c r="J40" i="44"/>
  <c r="J24" i="44"/>
  <c r="J6" i="44"/>
  <c r="J8" i="44"/>
  <c r="J10" i="44"/>
  <c r="J12" i="44"/>
  <c r="J13" i="44"/>
  <c r="J15" i="44"/>
  <c r="J17" i="44"/>
  <c r="J19" i="44"/>
  <c r="J21" i="44"/>
  <c r="J23" i="44"/>
  <c r="J25" i="44"/>
  <c r="J27" i="44"/>
  <c r="J29" i="44"/>
  <c r="J31" i="44"/>
  <c r="J33" i="44"/>
  <c r="J35" i="44"/>
  <c r="J37" i="44"/>
  <c r="J39" i="44"/>
  <c r="J41" i="44"/>
  <c r="F5" i="44"/>
  <c r="F7" i="44"/>
  <c r="F9" i="44"/>
  <c r="F11" i="44"/>
  <c r="F13" i="44"/>
  <c r="F15" i="44"/>
  <c r="F17" i="44"/>
  <c r="F19" i="44"/>
  <c r="F20" i="44"/>
  <c r="F22" i="44"/>
  <c r="F24" i="44"/>
  <c r="F26" i="44"/>
  <c r="F28" i="44"/>
  <c r="F29" i="44"/>
  <c r="F31" i="44"/>
  <c r="F33" i="44"/>
  <c r="F35" i="44"/>
  <c r="F37" i="44"/>
  <c r="F39" i="44"/>
  <c r="F41" i="44"/>
  <c r="F43" i="44"/>
  <c r="F45" i="44"/>
  <c r="F47" i="44"/>
  <c r="F49" i="44"/>
  <c r="F51" i="44"/>
  <c r="F53" i="44"/>
  <c r="J43" i="44"/>
  <c r="J46" i="44"/>
  <c r="J49" i="44"/>
  <c r="F55" i="44"/>
  <c r="J45" i="44"/>
  <c r="J50" i="44"/>
  <c r="J53" i="44"/>
  <c r="K56" i="44"/>
  <c r="J42" i="44"/>
  <c r="J44" i="44"/>
  <c r="J48" i="44"/>
  <c r="J52" i="44"/>
  <c r="J55" i="44"/>
  <c r="J47" i="44"/>
  <c r="J51" i="44"/>
  <c r="J56" i="44" l="1"/>
  <c r="F56" i="44"/>
  <c r="N3" i="44" l="1"/>
  <c r="P3" i="44"/>
  <c r="O3" i="44"/>
  <c r="P55" i="44" l="1"/>
  <c r="P43" i="44"/>
  <c r="P47" i="44"/>
  <c r="P51" i="44"/>
  <c r="P40" i="44"/>
  <c r="P36" i="44"/>
  <c r="P32" i="44"/>
  <c r="P28" i="44"/>
  <c r="P24" i="44"/>
  <c r="P20" i="44"/>
  <c r="P16" i="44"/>
  <c r="P12" i="44"/>
  <c r="P8" i="44"/>
  <c r="P54" i="44"/>
  <c r="P42" i="44"/>
  <c r="P46" i="44"/>
  <c r="P50" i="44"/>
  <c r="P41" i="44"/>
  <c r="P37" i="44"/>
  <c r="P33" i="44"/>
  <c r="P29" i="44"/>
  <c r="P25" i="44"/>
  <c r="P21" i="44"/>
  <c r="P17" i="44"/>
  <c r="P13" i="44"/>
  <c r="P9" i="44"/>
  <c r="P45" i="44"/>
  <c r="P49" i="44"/>
  <c r="P53" i="44"/>
  <c r="P38" i="44"/>
  <c r="P34" i="44"/>
  <c r="P30" i="44"/>
  <c r="P26" i="44"/>
  <c r="P22" i="44"/>
  <c r="P18" i="44"/>
  <c r="P14" i="44"/>
  <c r="P10" i="44"/>
  <c r="P6" i="44"/>
  <c r="P44" i="44"/>
  <c r="P48" i="44"/>
  <c r="P52" i="44"/>
  <c r="P39" i="44"/>
  <c r="P35" i="44"/>
  <c r="P31" i="44"/>
  <c r="P27" i="44"/>
  <c r="P23" i="44"/>
  <c r="P19" i="44"/>
  <c r="P15" i="44"/>
  <c r="P11" i="44"/>
  <c r="P7" i="44"/>
  <c r="P5" i="44"/>
  <c r="O9" i="44"/>
  <c r="O20" i="44"/>
  <c r="O28" i="44"/>
  <c r="O36" i="44"/>
  <c r="O7" i="44"/>
  <c r="O18" i="44"/>
  <c r="O26" i="44"/>
  <c r="O34" i="44"/>
  <c r="O54" i="44"/>
  <c r="O16" i="44"/>
  <c r="O24" i="44"/>
  <c r="O32" i="44"/>
  <c r="O40" i="44"/>
  <c r="O11" i="44"/>
  <c r="O14" i="44"/>
  <c r="O22" i="44"/>
  <c r="O30" i="44"/>
  <c r="O38" i="44"/>
  <c r="O5" i="44"/>
  <c r="O47" i="44"/>
  <c r="O52" i="44"/>
  <c r="O35" i="44"/>
  <c r="O27" i="44"/>
  <c r="O19" i="44"/>
  <c r="O10" i="44"/>
  <c r="O51" i="44"/>
  <c r="O48" i="44"/>
  <c r="O53" i="44"/>
  <c r="O49" i="44"/>
  <c r="O41" i="44"/>
  <c r="O33" i="44"/>
  <c r="O25" i="44"/>
  <c r="O17" i="44"/>
  <c r="O12" i="44"/>
  <c r="O44" i="44"/>
  <c r="O50" i="44"/>
  <c r="O46" i="44"/>
  <c r="O39" i="44"/>
  <c r="O31" i="44"/>
  <c r="O23" i="44"/>
  <c r="O15" i="44"/>
  <c r="O6" i="44"/>
  <c r="O55" i="44"/>
  <c r="O42" i="44"/>
  <c r="O45" i="44"/>
  <c r="O43" i="44"/>
  <c r="O37" i="44"/>
  <c r="O29" i="44"/>
  <c r="O21" i="44"/>
  <c r="O13" i="44"/>
  <c r="O8" i="44"/>
  <c r="N10" i="44"/>
  <c r="N18" i="44"/>
  <c r="N25" i="44"/>
  <c r="N30" i="44"/>
  <c r="N38" i="44"/>
  <c r="N46" i="44"/>
  <c r="N8" i="44"/>
  <c r="N16" i="44"/>
  <c r="N23" i="44"/>
  <c r="N32" i="44"/>
  <c r="N40" i="44"/>
  <c r="N48" i="44"/>
  <c r="N5" i="44"/>
  <c r="N6" i="44"/>
  <c r="N14" i="44"/>
  <c r="N21" i="44"/>
  <c r="N34" i="44"/>
  <c r="N42" i="44"/>
  <c r="N50" i="44"/>
  <c r="N54" i="44"/>
  <c r="N12" i="44"/>
  <c r="N27" i="44"/>
  <c r="N36" i="44"/>
  <c r="N44" i="44"/>
  <c r="N52" i="44"/>
  <c r="N55" i="44"/>
  <c r="N53" i="44"/>
  <c r="N45" i="44"/>
  <c r="N37" i="44"/>
  <c r="N29" i="44"/>
  <c r="N22" i="44"/>
  <c r="N15" i="44"/>
  <c r="N7" i="44"/>
  <c r="N51" i="44"/>
  <c r="N43" i="44"/>
  <c r="N35" i="44"/>
  <c r="N28" i="44"/>
  <c r="N20" i="44"/>
  <c r="N13" i="44"/>
  <c r="N49" i="44"/>
  <c r="N41" i="44"/>
  <c r="N33" i="44"/>
  <c r="N26" i="44"/>
  <c r="N19" i="44"/>
  <c r="N11" i="44"/>
  <c r="N47" i="44"/>
  <c r="N39" i="44"/>
  <c r="N31" i="44"/>
  <c r="N24" i="44"/>
  <c r="N17" i="44"/>
  <c r="N9" i="44"/>
  <c r="Q34" i="44" l="1"/>
  <c r="Q13" i="44"/>
  <c r="Q33" i="44"/>
  <c r="Q29" i="44"/>
  <c r="Q46" i="44"/>
  <c r="Q30" i="44"/>
  <c r="Q51" i="44"/>
  <c r="Q11" i="44"/>
  <c r="Q20" i="44"/>
  <c r="Q55" i="44"/>
  <c r="Q17" i="44"/>
  <c r="Q21" i="44"/>
  <c r="Q31" i="44"/>
  <c r="Q35" i="44"/>
  <c r="Q47" i="44"/>
  <c r="Q32" i="44"/>
  <c r="Q18" i="44"/>
  <c r="Q54" i="44"/>
  <c r="Q19" i="44"/>
  <c r="Q15" i="44"/>
  <c r="Q16" i="44"/>
  <c r="Q9" i="44"/>
  <c r="Q24" i="44"/>
  <c r="Q39" i="44"/>
  <c r="Q26" i="44"/>
  <c r="Q41" i="44"/>
  <c r="Q28" i="44"/>
  <c r="Q43" i="44"/>
  <c r="Q7" i="44"/>
  <c r="Q22" i="44"/>
  <c r="Q37" i="44"/>
  <c r="Q36" i="44"/>
  <c r="Q12" i="44"/>
  <c r="Q14" i="44"/>
  <c r="Q40" i="44"/>
  <c r="Q8" i="44"/>
  <c r="Q38" i="44"/>
  <c r="P56" i="44"/>
  <c r="Q45" i="44"/>
  <c r="Q44" i="44"/>
  <c r="Q49" i="44"/>
  <c r="Q48" i="44"/>
  <c r="Q10" i="44"/>
  <c r="Q27" i="44"/>
  <c r="Q52" i="44"/>
  <c r="O56" i="44"/>
  <c r="N56" i="44"/>
  <c r="Q5" i="44"/>
  <c r="Q42" i="44"/>
  <c r="Q6" i="44"/>
  <c r="Q23" i="44"/>
  <c r="Q50" i="44"/>
  <c r="Q25" i="44"/>
  <c r="Q53" i="44"/>
  <c r="Q56" i="44" l="1"/>
  <c r="R23" i="44" s="1"/>
  <c r="E24" i="51" s="1"/>
  <c r="R49" i="44" l="1"/>
  <c r="E50" i="51" s="1"/>
  <c r="R25" i="44"/>
  <c r="E26" i="51" s="1"/>
  <c r="R52" i="44"/>
  <c r="E53" i="51" s="1"/>
  <c r="R48" i="44"/>
  <c r="E49" i="51" s="1"/>
  <c r="R45" i="44"/>
  <c r="E46" i="51" s="1"/>
  <c r="R10" i="44"/>
  <c r="E11" i="51" s="1"/>
  <c r="R42" i="44"/>
  <c r="E43" i="51" s="1"/>
  <c r="R44" i="44"/>
  <c r="E45" i="51" s="1"/>
  <c r="R27" i="44"/>
  <c r="E28" i="51" s="1"/>
  <c r="R5" i="44"/>
  <c r="E6" i="51" s="1"/>
  <c r="R9" i="44"/>
  <c r="E10" i="51" s="1"/>
  <c r="R17" i="44"/>
  <c r="E18" i="51" s="1"/>
  <c r="R31" i="44"/>
  <c r="E32" i="51" s="1"/>
  <c r="R47" i="44"/>
  <c r="E48" i="51" s="1"/>
  <c r="R19" i="44"/>
  <c r="E20" i="51" s="1"/>
  <c r="R33" i="44"/>
  <c r="E34" i="51" s="1"/>
  <c r="R20" i="44"/>
  <c r="E21" i="51" s="1"/>
  <c r="R35" i="44"/>
  <c r="E36" i="51" s="1"/>
  <c r="R51" i="44"/>
  <c r="E52" i="51" s="1"/>
  <c r="R15" i="44"/>
  <c r="E16" i="51" s="1"/>
  <c r="R29" i="44"/>
  <c r="E30" i="51" s="1"/>
  <c r="R55" i="44"/>
  <c r="E56" i="51" s="1"/>
  <c r="R54" i="44"/>
  <c r="E55" i="51" s="1"/>
  <c r="R21" i="44"/>
  <c r="E22" i="51" s="1"/>
  <c r="R32" i="44"/>
  <c r="E33" i="51" s="1"/>
  <c r="R16" i="44"/>
  <c r="E17" i="51" s="1"/>
  <c r="R46" i="44"/>
  <c r="E47" i="51" s="1"/>
  <c r="R30" i="44"/>
  <c r="E31" i="51" s="1"/>
  <c r="R18" i="44"/>
  <c r="E19" i="51" s="1"/>
  <c r="R24" i="44"/>
  <c r="E25" i="51" s="1"/>
  <c r="R39" i="44"/>
  <c r="E40" i="51" s="1"/>
  <c r="R11" i="44"/>
  <c r="E12" i="51" s="1"/>
  <c r="R26" i="44"/>
  <c r="E27" i="51" s="1"/>
  <c r="R41" i="44"/>
  <c r="E42" i="51" s="1"/>
  <c r="R13" i="44"/>
  <c r="E14" i="51" s="1"/>
  <c r="R28" i="44"/>
  <c r="E29" i="51" s="1"/>
  <c r="R43" i="44"/>
  <c r="E44" i="51" s="1"/>
  <c r="R7" i="44"/>
  <c r="E8" i="51" s="1"/>
  <c r="R22" i="44"/>
  <c r="E23" i="51" s="1"/>
  <c r="R37" i="44"/>
  <c r="E38" i="51" s="1"/>
  <c r="R36" i="44"/>
  <c r="E37" i="51" s="1"/>
  <c r="R12" i="44"/>
  <c r="E13" i="51" s="1"/>
  <c r="R34" i="44"/>
  <c r="E35" i="51" s="1"/>
  <c r="R14" i="44"/>
  <c r="E15" i="51" s="1"/>
  <c r="R40" i="44"/>
  <c r="E41" i="51" s="1"/>
  <c r="R8" i="44"/>
  <c r="E9" i="51" s="1"/>
  <c r="R38" i="44"/>
  <c r="E39" i="51" s="1"/>
  <c r="R6" i="44"/>
  <c r="E7" i="51" s="1"/>
  <c r="R50" i="44"/>
  <c r="E51" i="51" s="1"/>
  <c r="R53" i="44"/>
  <c r="E54" i="51" s="1"/>
  <c r="D58" i="1"/>
  <c r="C58" i="1"/>
  <c r="J5" i="36"/>
  <c r="E58" i="36"/>
  <c r="F58" i="36" s="1"/>
  <c r="C58" i="36"/>
  <c r="D57" i="36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D11" i="36"/>
  <c r="D7" i="36"/>
  <c r="D26" i="36"/>
  <c r="D8" i="36"/>
  <c r="D16" i="36"/>
  <c r="D33" i="36"/>
  <c r="D17" i="36"/>
  <c r="D48" i="36"/>
  <c r="D56" i="36"/>
  <c r="E7" i="1"/>
  <c r="F7" i="1" s="1"/>
  <c r="D47" i="36"/>
  <c r="D51" i="36"/>
  <c r="D55" i="36"/>
  <c r="K58" i="1"/>
  <c r="L10" i="1" s="1"/>
  <c r="M10" i="1" s="1"/>
  <c r="H58" i="1"/>
  <c r="I10" i="1" s="1"/>
  <c r="J10" i="1" s="1"/>
  <c r="E57" i="51" l="1"/>
  <c r="D39" i="36"/>
  <c r="D46" i="36"/>
  <c r="D38" i="36"/>
  <c r="D29" i="36"/>
  <c r="D34" i="36"/>
  <c r="D25" i="36"/>
  <c r="D21" i="36"/>
  <c r="L9" i="1"/>
  <c r="M9" i="1" s="1"/>
  <c r="L13" i="1"/>
  <c r="M13" i="1" s="1"/>
  <c r="N13" i="1" s="1"/>
  <c r="L26" i="1"/>
  <c r="M26" i="1" s="1"/>
  <c r="D24" i="36"/>
  <c r="J24" i="36" s="1"/>
  <c r="D43" i="36"/>
  <c r="J43" i="36" s="1"/>
  <c r="D12" i="36"/>
  <c r="J12" i="36" s="1"/>
  <c r="I28" i="1"/>
  <c r="J28" i="1" s="1"/>
  <c r="I13" i="1"/>
  <c r="J13" i="1" s="1"/>
  <c r="I30" i="1"/>
  <c r="J30" i="1" s="1"/>
  <c r="I40" i="1"/>
  <c r="J40" i="1" s="1"/>
  <c r="I16" i="1"/>
  <c r="J16" i="1" s="1"/>
  <c r="I22" i="1"/>
  <c r="J22" i="1" s="1"/>
  <c r="I48" i="1"/>
  <c r="J48" i="1" s="1"/>
  <c r="I33" i="1"/>
  <c r="J33" i="1" s="1"/>
  <c r="I38" i="1"/>
  <c r="J38" i="1" s="1"/>
  <c r="D50" i="36"/>
  <c r="J50" i="36" s="1"/>
  <c r="D13" i="36"/>
  <c r="J13" i="36" s="1"/>
  <c r="D35" i="36"/>
  <c r="J35" i="36" s="1"/>
  <c r="D30" i="36"/>
  <c r="I24" i="1"/>
  <c r="J24" i="1" s="1"/>
  <c r="L34" i="1"/>
  <c r="M34" i="1" s="1"/>
  <c r="I25" i="1"/>
  <c r="J25" i="1" s="1"/>
  <c r="I51" i="1"/>
  <c r="J51" i="1" s="1"/>
  <c r="D53" i="36"/>
  <c r="J53" i="36" s="1"/>
  <c r="D49" i="36"/>
  <c r="J49" i="36" s="1"/>
  <c r="D52" i="36"/>
  <c r="J52" i="36" s="1"/>
  <c r="D45" i="36"/>
  <c r="J45" i="36" s="1"/>
  <c r="D41" i="36"/>
  <c r="J41" i="36" s="1"/>
  <c r="D54" i="36"/>
  <c r="D42" i="36"/>
  <c r="D36" i="36"/>
  <c r="J36" i="36" s="1"/>
  <c r="D32" i="36"/>
  <c r="J32" i="36" s="1"/>
  <c r="D40" i="36"/>
  <c r="J40" i="36" s="1"/>
  <c r="D31" i="36"/>
  <c r="J31" i="36" s="1"/>
  <c r="D27" i="36"/>
  <c r="J27" i="36" s="1"/>
  <c r="D23" i="36"/>
  <c r="J23" i="36" s="1"/>
  <c r="D19" i="36"/>
  <c r="J19" i="36" s="1"/>
  <c r="D44" i="36"/>
  <c r="J44" i="36" s="1"/>
  <c r="D28" i="36"/>
  <c r="J28" i="36" s="1"/>
  <c r="D20" i="36"/>
  <c r="J20" i="36" s="1"/>
  <c r="D14" i="36"/>
  <c r="D10" i="36"/>
  <c r="D37" i="36"/>
  <c r="J37" i="36" s="1"/>
  <c r="D18" i="36"/>
  <c r="J18" i="36" s="1"/>
  <c r="D9" i="36"/>
  <c r="D15" i="36"/>
  <c r="J15" i="36" s="1"/>
  <c r="D22" i="36"/>
  <c r="J22" i="36" s="1"/>
  <c r="F7" i="36"/>
  <c r="F16" i="36"/>
  <c r="L11" i="1"/>
  <c r="M11" i="1" s="1"/>
  <c r="L15" i="1"/>
  <c r="M15" i="1" s="1"/>
  <c r="I18" i="1"/>
  <c r="J18" i="1" s="1"/>
  <c r="I26" i="1"/>
  <c r="J26" i="1" s="1"/>
  <c r="N26" i="1" s="1"/>
  <c r="I34" i="1"/>
  <c r="J34" i="1" s="1"/>
  <c r="I8" i="1"/>
  <c r="J8" i="1" s="1"/>
  <c r="I41" i="1"/>
  <c r="J41" i="1" s="1"/>
  <c r="I50" i="1"/>
  <c r="J50" i="1" s="1"/>
  <c r="I20" i="1"/>
  <c r="J20" i="1" s="1"/>
  <c r="I36" i="1"/>
  <c r="J36" i="1" s="1"/>
  <c r="I44" i="1"/>
  <c r="J44" i="1" s="1"/>
  <c r="I56" i="1"/>
  <c r="J56" i="1" s="1"/>
  <c r="I47" i="1"/>
  <c r="J47" i="1" s="1"/>
  <c r="I9" i="1"/>
  <c r="J9" i="1" s="1"/>
  <c r="I54" i="1"/>
  <c r="J54" i="1" s="1"/>
  <c r="I46" i="1"/>
  <c r="J46" i="1" s="1"/>
  <c r="L18" i="1"/>
  <c r="M18" i="1" s="1"/>
  <c r="L58" i="1"/>
  <c r="L7" i="1"/>
  <c r="M7" i="1" s="1"/>
  <c r="L54" i="1"/>
  <c r="M54" i="1" s="1"/>
  <c r="L46" i="1"/>
  <c r="M46" i="1" s="1"/>
  <c r="L38" i="1"/>
  <c r="M38" i="1" s="1"/>
  <c r="L30" i="1"/>
  <c r="M30" i="1" s="1"/>
  <c r="N30" i="1" s="1"/>
  <c r="L22" i="1"/>
  <c r="M22" i="1" s="1"/>
  <c r="L14" i="1"/>
  <c r="M14" i="1" s="1"/>
  <c r="L56" i="1"/>
  <c r="M56" i="1" s="1"/>
  <c r="L52" i="1"/>
  <c r="M52" i="1" s="1"/>
  <c r="L48" i="1"/>
  <c r="M48" i="1" s="1"/>
  <c r="L44" i="1"/>
  <c r="M44" i="1" s="1"/>
  <c r="L40" i="1"/>
  <c r="M40" i="1" s="1"/>
  <c r="L36" i="1"/>
  <c r="M36" i="1" s="1"/>
  <c r="L32" i="1"/>
  <c r="M32" i="1" s="1"/>
  <c r="L28" i="1"/>
  <c r="M28" i="1" s="1"/>
  <c r="L24" i="1"/>
  <c r="M24" i="1" s="1"/>
  <c r="N24" i="1" s="1"/>
  <c r="L20" i="1"/>
  <c r="M20" i="1" s="1"/>
  <c r="L16" i="1"/>
  <c r="M16" i="1" s="1"/>
  <c r="L12" i="1"/>
  <c r="M12" i="1" s="1"/>
  <c r="L8" i="1"/>
  <c r="M8" i="1" s="1"/>
  <c r="L57" i="1"/>
  <c r="M57" i="1" s="1"/>
  <c r="L55" i="1"/>
  <c r="M55" i="1" s="1"/>
  <c r="L53" i="1"/>
  <c r="M53" i="1" s="1"/>
  <c r="L51" i="1"/>
  <c r="M51" i="1" s="1"/>
  <c r="L49" i="1"/>
  <c r="M49" i="1" s="1"/>
  <c r="L47" i="1"/>
  <c r="M47" i="1" s="1"/>
  <c r="L45" i="1"/>
  <c r="M45" i="1" s="1"/>
  <c r="L43" i="1"/>
  <c r="M43" i="1" s="1"/>
  <c r="L41" i="1"/>
  <c r="M41" i="1" s="1"/>
  <c r="L39" i="1"/>
  <c r="M39" i="1" s="1"/>
  <c r="L37" i="1"/>
  <c r="M37" i="1" s="1"/>
  <c r="L35" i="1"/>
  <c r="M35" i="1" s="1"/>
  <c r="L33" i="1"/>
  <c r="M33" i="1" s="1"/>
  <c r="L31" i="1"/>
  <c r="M31" i="1" s="1"/>
  <c r="L29" i="1"/>
  <c r="M29" i="1" s="1"/>
  <c r="L27" i="1"/>
  <c r="M27" i="1" s="1"/>
  <c r="L25" i="1"/>
  <c r="M25" i="1" s="1"/>
  <c r="L23" i="1"/>
  <c r="M23" i="1" s="1"/>
  <c r="L21" i="1"/>
  <c r="M21" i="1" s="1"/>
  <c r="L19" i="1"/>
  <c r="M19" i="1" s="1"/>
  <c r="L17" i="1"/>
  <c r="M17" i="1" s="1"/>
  <c r="L50" i="1"/>
  <c r="M50" i="1" s="1"/>
  <c r="N50" i="1" s="1"/>
  <c r="L42" i="1"/>
  <c r="M42" i="1" s="1"/>
  <c r="N10" i="1"/>
  <c r="R56" i="44"/>
  <c r="F27" i="36"/>
  <c r="F22" i="36"/>
  <c r="F43" i="36"/>
  <c r="F54" i="36"/>
  <c r="F28" i="36"/>
  <c r="F51" i="36"/>
  <c r="F35" i="36"/>
  <c r="F19" i="36"/>
  <c r="F38" i="36"/>
  <c r="F10" i="36"/>
  <c r="F40" i="36"/>
  <c r="F55" i="36"/>
  <c r="F47" i="36"/>
  <c r="F39" i="36"/>
  <c r="F31" i="36"/>
  <c r="F23" i="36"/>
  <c r="F15" i="36"/>
  <c r="F48" i="36"/>
  <c r="F50" i="36"/>
  <c r="F46" i="36"/>
  <c r="F30" i="36"/>
  <c r="F14" i="36"/>
  <c r="F44" i="36"/>
  <c r="F13" i="36"/>
  <c r="F11" i="36"/>
  <c r="F57" i="36"/>
  <c r="F53" i="36"/>
  <c r="F49" i="36"/>
  <c r="F45" i="36"/>
  <c r="F41" i="36"/>
  <c r="F37" i="36"/>
  <c r="F33" i="36"/>
  <c r="F29" i="36"/>
  <c r="F25" i="36"/>
  <c r="F21" i="36"/>
  <c r="F17" i="36"/>
  <c r="F56" i="36"/>
  <c r="F52" i="36"/>
  <c r="F42" i="36"/>
  <c r="F34" i="36"/>
  <c r="F26" i="36"/>
  <c r="F18" i="36"/>
  <c r="F12" i="36"/>
  <c r="F8" i="36"/>
  <c r="F36" i="36"/>
  <c r="F20" i="36"/>
  <c r="F9" i="36"/>
  <c r="F24" i="36"/>
  <c r="F32" i="36"/>
  <c r="I14" i="1"/>
  <c r="J14" i="1" s="1"/>
  <c r="I19" i="1"/>
  <c r="J19" i="1" s="1"/>
  <c r="I23" i="1"/>
  <c r="J23" i="1" s="1"/>
  <c r="I27" i="1"/>
  <c r="J27" i="1" s="1"/>
  <c r="I31" i="1"/>
  <c r="J31" i="1" s="1"/>
  <c r="I35" i="1"/>
  <c r="J35" i="1" s="1"/>
  <c r="I39" i="1"/>
  <c r="J39" i="1" s="1"/>
  <c r="I43" i="1"/>
  <c r="J43" i="1" s="1"/>
  <c r="I12" i="1"/>
  <c r="J12" i="1" s="1"/>
  <c r="I21" i="1"/>
  <c r="J21" i="1" s="1"/>
  <c r="I29" i="1"/>
  <c r="J29" i="1" s="1"/>
  <c r="I37" i="1"/>
  <c r="J37" i="1" s="1"/>
  <c r="I45" i="1"/>
  <c r="J45" i="1" s="1"/>
  <c r="I49" i="1"/>
  <c r="J49" i="1" s="1"/>
  <c r="I53" i="1"/>
  <c r="J53" i="1" s="1"/>
  <c r="I57" i="1"/>
  <c r="J57" i="1" s="1"/>
  <c r="I7" i="1"/>
  <c r="I11" i="1"/>
  <c r="J11" i="1" s="1"/>
  <c r="I15" i="1"/>
  <c r="J15" i="1" s="1"/>
  <c r="N15" i="1" s="1"/>
  <c r="I55" i="1"/>
  <c r="J55" i="1" s="1"/>
  <c r="I17" i="1"/>
  <c r="J17" i="1" s="1"/>
  <c r="I32" i="1"/>
  <c r="J32" i="1" s="1"/>
  <c r="I42" i="1"/>
  <c r="J42" i="1" s="1"/>
  <c r="I52" i="1"/>
  <c r="J52" i="1" s="1"/>
  <c r="J55" i="36"/>
  <c r="J34" i="36"/>
  <c r="J47" i="36"/>
  <c r="J10" i="36"/>
  <c r="J26" i="36"/>
  <c r="J42" i="36"/>
  <c r="J7" i="36"/>
  <c r="J39" i="36"/>
  <c r="AB5" i="1"/>
  <c r="J57" i="36"/>
  <c r="J33" i="36"/>
  <c r="J29" i="36"/>
  <c r="J25" i="36"/>
  <c r="J21" i="36"/>
  <c r="J17" i="36"/>
  <c r="J56" i="36"/>
  <c r="J48" i="36"/>
  <c r="J16" i="36"/>
  <c r="J8" i="36"/>
  <c r="K5" i="36"/>
  <c r="L5" i="36"/>
  <c r="J14" i="36"/>
  <c r="J30" i="36"/>
  <c r="J38" i="36"/>
  <c r="J46" i="36"/>
  <c r="J54" i="36"/>
  <c r="J11" i="36"/>
  <c r="J51" i="36"/>
  <c r="E58" i="1"/>
  <c r="F58" i="1"/>
  <c r="G7" i="1" s="1"/>
  <c r="N9" i="1" l="1"/>
  <c r="N41" i="1"/>
  <c r="N39" i="1"/>
  <c r="N29" i="1"/>
  <c r="N28" i="1"/>
  <c r="N20" i="1"/>
  <c r="N25" i="1"/>
  <c r="N51" i="1"/>
  <c r="N40" i="1"/>
  <c r="N16" i="1"/>
  <c r="N53" i="1"/>
  <c r="N38" i="1"/>
  <c r="N17" i="1"/>
  <c r="N12" i="1"/>
  <c r="N22" i="1"/>
  <c r="N11" i="1"/>
  <c r="N33" i="1"/>
  <c r="N34" i="1"/>
  <c r="N23" i="1"/>
  <c r="N56" i="1"/>
  <c r="N46" i="1"/>
  <c r="N48" i="1"/>
  <c r="D58" i="36"/>
  <c r="J9" i="36"/>
  <c r="J58" i="36" s="1"/>
  <c r="N8" i="1"/>
  <c r="N45" i="1"/>
  <c r="N14" i="1"/>
  <c r="N42" i="1"/>
  <c r="N31" i="1"/>
  <c r="N44" i="1"/>
  <c r="N18" i="1"/>
  <c r="G50" i="1"/>
  <c r="AB50" i="1" s="1"/>
  <c r="G48" i="1"/>
  <c r="AB48" i="1" s="1"/>
  <c r="G39" i="1"/>
  <c r="AB39" i="1" s="1"/>
  <c r="G33" i="1"/>
  <c r="AB33" i="1" s="1"/>
  <c r="G31" i="1"/>
  <c r="AB31" i="1" s="1"/>
  <c r="G27" i="1"/>
  <c r="AB27" i="1" s="1"/>
  <c r="G43" i="1"/>
  <c r="AB43" i="1" s="1"/>
  <c r="N32" i="1"/>
  <c r="N55" i="1"/>
  <c r="N43" i="1"/>
  <c r="N35" i="1"/>
  <c r="N27" i="1"/>
  <c r="N19" i="1"/>
  <c r="N36" i="1"/>
  <c r="G25" i="1"/>
  <c r="AB25" i="1" s="1"/>
  <c r="G17" i="1"/>
  <c r="AB17" i="1" s="1"/>
  <c r="G15" i="1"/>
  <c r="AB15" i="1" s="1"/>
  <c r="G10" i="1"/>
  <c r="AB10" i="1" s="1"/>
  <c r="G8" i="1"/>
  <c r="AB8" i="1" s="1"/>
  <c r="G51" i="1"/>
  <c r="AB51" i="1" s="1"/>
  <c r="G49" i="1"/>
  <c r="AB49" i="1" s="1"/>
  <c r="G45" i="1"/>
  <c r="AB45" i="1" s="1"/>
  <c r="G40" i="1"/>
  <c r="AB40" i="1" s="1"/>
  <c r="G34" i="1"/>
  <c r="AB34" i="1" s="1"/>
  <c r="G32" i="1"/>
  <c r="AB32" i="1" s="1"/>
  <c r="G28" i="1"/>
  <c r="AB28" i="1" s="1"/>
  <c r="G26" i="1"/>
  <c r="AB26" i="1" s="1"/>
  <c r="G18" i="1"/>
  <c r="AB18" i="1" s="1"/>
  <c r="G16" i="1"/>
  <c r="AB16" i="1" s="1"/>
  <c r="G13" i="1"/>
  <c r="AB13" i="1" s="1"/>
  <c r="G9" i="1"/>
  <c r="AB9" i="1" s="1"/>
  <c r="N54" i="1"/>
  <c r="N47" i="1"/>
  <c r="M58" i="1"/>
  <c r="N52" i="1"/>
  <c r="N57" i="1"/>
  <c r="N49" i="1"/>
  <c r="N37" i="1"/>
  <c r="N21" i="1"/>
  <c r="J7" i="1"/>
  <c r="I58" i="1"/>
  <c r="AD5" i="1"/>
  <c r="AC5" i="1"/>
  <c r="K13" i="36"/>
  <c r="K50" i="36"/>
  <c r="K9" i="36"/>
  <c r="K8" i="36"/>
  <c r="K12" i="36"/>
  <c r="K20" i="36"/>
  <c r="K54" i="36"/>
  <c r="K56" i="36"/>
  <c r="K15" i="36"/>
  <c r="K17" i="36"/>
  <c r="K19" i="36"/>
  <c r="K21" i="36"/>
  <c r="K23" i="36"/>
  <c r="K25" i="36"/>
  <c r="K27" i="36"/>
  <c r="K29" i="36"/>
  <c r="K31" i="36"/>
  <c r="K33" i="36"/>
  <c r="K35" i="36"/>
  <c r="K37" i="36"/>
  <c r="K39" i="36"/>
  <c r="K41" i="36"/>
  <c r="K43" i="36"/>
  <c r="K45" i="36"/>
  <c r="K47" i="36"/>
  <c r="K49" i="36"/>
  <c r="K51" i="36"/>
  <c r="K53" i="36"/>
  <c r="K55" i="36"/>
  <c r="K57" i="36"/>
  <c r="K28" i="36"/>
  <c r="K36" i="36"/>
  <c r="K44" i="36"/>
  <c r="K18" i="36"/>
  <c r="K22" i="36"/>
  <c r="K26" i="36"/>
  <c r="K30" i="36"/>
  <c r="K34" i="36"/>
  <c r="K38" i="36"/>
  <c r="K42" i="36"/>
  <c r="K46" i="36"/>
  <c r="K48" i="36"/>
  <c r="K52" i="36"/>
  <c r="K7" i="36"/>
  <c r="K10" i="36"/>
  <c r="K32" i="36"/>
  <c r="K16" i="36"/>
  <c r="K24" i="36"/>
  <c r="K40" i="36"/>
  <c r="K11" i="36"/>
  <c r="K14" i="36"/>
  <c r="AB7" i="1"/>
  <c r="G57" i="1"/>
  <c r="AB57" i="1" s="1"/>
  <c r="G37" i="1"/>
  <c r="AB37" i="1" s="1"/>
  <c r="G53" i="1"/>
  <c r="AB53" i="1" s="1"/>
  <c r="G21" i="1"/>
  <c r="AB21" i="1" s="1"/>
  <c r="G38" i="1"/>
  <c r="AB38" i="1" s="1"/>
  <c r="G54" i="1"/>
  <c r="AB54" i="1" s="1"/>
  <c r="G42" i="1"/>
  <c r="AB42" i="1" s="1"/>
  <c r="G23" i="1"/>
  <c r="AB23" i="1" s="1"/>
  <c r="G55" i="1"/>
  <c r="AB55" i="1" s="1"/>
  <c r="G46" i="1"/>
  <c r="AB46" i="1" s="1"/>
  <c r="G36" i="1"/>
  <c r="AB36" i="1" s="1"/>
  <c r="G29" i="1"/>
  <c r="AB29" i="1" s="1"/>
  <c r="G14" i="1"/>
  <c r="AB14" i="1" s="1"/>
  <c r="G44" i="1"/>
  <c r="AB44" i="1" s="1"/>
  <c r="G30" i="1"/>
  <c r="AB30" i="1" s="1"/>
  <c r="G20" i="1"/>
  <c r="AB20" i="1" s="1"/>
  <c r="G41" i="1"/>
  <c r="AB41" i="1" s="1"/>
  <c r="G19" i="1"/>
  <c r="AB19" i="1" s="1"/>
  <c r="G22" i="1"/>
  <c r="AB22" i="1" s="1"/>
  <c r="G12" i="1"/>
  <c r="AB12" i="1" s="1"/>
  <c r="G56" i="1"/>
  <c r="AB56" i="1" s="1"/>
  <c r="G52" i="1"/>
  <c r="AB52" i="1" s="1"/>
  <c r="G47" i="1"/>
  <c r="AB47" i="1" s="1"/>
  <c r="G11" i="1"/>
  <c r="AB11" i="1" s="1"/>
  <c r="G24" i="1"/>
  <c r="AB24" i="1" s="1"/>
  <c r="G35" i="1"/>
  <c r="AB35" i="1" s="1"/>
  <c r="X18" i="1" l="1"/>
  <c r="X30" i="1"/>
  <c r="X42" i="1"/>
  <c r="X54" i="1"/>
  <c r="U15" i="1"/>
  <c r="U27" i="1"/>
  <c r="U39" i="1"/>
  <c r="U51" i="1"/>
  <c r="X33" i="1"/>
  <c r="Y33" i="1" s="1"/>
  <c r="X57" i="1"/>
  <c r="U30" i="1"/>
  <c r="U54" i="1"/>
  <c r="X10" i="1"/>
  <c r="X46" i="1"/>
  <c r="U19" i="1"/>
  <c r="U55" i="1"/>
  <c r="X36" i="1"/>
  <c r="U33" i="1"/>
  <c r="U48" i="1"/>
  <c r="X16" i="1"/>
  <c r="X52" i="1"/>
  <c r="U50" i="1"/>
  <c r="X19" i="1"/>
  <c r="X31" i="1"/>
  <c r="X43" i="1"/>
  <c r="X55" i="1"/>
  <c r="U16" i="1"/>
  <c r="U28" i="1"/>
  <c r="U40" i="1"/>
  <c r="U52" i="1"/>
  <c r="X22" i="1"/>
  <c r="X7" i="1"/>
  <c r="U43" i="1"/>
  <c r="X23" i="1"/>
  <c r="X35" i="1"/>
  <c r="X47" i="1"/>
  <c r="U8" i="1"/>
  <c r="U20" i="1"/>
  <c r="U32" i="1"/>
  <c r="U44" i="1"/>
  <c r="U56" i="1"/>
  <c r="X12" i="1"/>
  <c r="X48" i="1"/>
  <c r="U45" i="1"/>
  <c r="X26" i="1"/>
  <c r="Y26" i="1" s="1"/>
  <c r="U23" i="1"/>
  <c r="X15" i="1"/>
  <c r="Y15" i="1" s="1"/>
  <c r="U12" i="1"/>
  <c r="U49" i="1"/>
  <c r="X41" i="1"/>
  <c r="U14" i="1"/>
  <c r="X8" i="1"/>
  <c r="X20" i="1"/>
  <c r="X32" i="1"/>
  <c r="X44" i="1"/>
  <c r="X56" i="1"/>
  <c r="U17" i="1"/>
  <c r="U29" i="1"/>
  <c r="U41" i="1"/>
  <c r="U53" i="1"/>
  <c r="X9" i="1"/>
  <c r="X21" i="1"/>
  <c r="X45" i="1"/>
  <c r="U18" i="1"/>
  <c r="U42" i="1"/>
  <c r="X34" i="1"/>
  <c r="U31" i="1"/>
  <c r="X24" i="1"/>
  <c r="U21" i="1"/>
  <c r="X38" i="1"/>
  <c r="X40" i="1"/>
  <c r="U25" i="1"/>
  <c r="X17" i="1"/>
  <c r="U26" i="1"/>
  <c r="X11" i="1"/>
  <c r="U57" i="1"/>
  <c r="U11" i="1"/>
  <c r="U47" i="1"/>
  <c r="X51" i="1"/>
  <c r="U36" i="1"/>
  <c r="U9" i="1"/>
  <c r="X50" i="1"/>
  <c r="X28" i="1"/>
  <c r="U13" i="1"/>
  <c r="X13" i="1"/>
  <c r="X25" i="1"/>
  <c r="X37" i="1"/>
  <c r="X49" i="1"/>
  <c r="U10" i="1"/>
  <c r="U22" i="1"/>
  <c r="U34" i="1"/>
  <c r="U46" i="1"/>
  <c r="U7" i="1"/>
  <c r="X39" i="1"/>
  <c r="Y39" i="1" s="1"/>
  <c r="U24" i="1"/>
  <c r="U38" i="1"/>
  <c r="X14" i="1"/>
  <c r="U35" i="1"/>
  <c r="X27" i="1"/>
  <c r="U37" i="1"/>
  <c r="X29" i="1"/>
  <c r="X53" i="1"/>
  <c r="AC36" i="1"/>
  <c r="N7" i="1"/>
  <c r="N58" i="1" s="1"/>
  <c r="J58" i="1"/>
  <c r="AC54" i="1"/>
  <c r="AC16" i="1"/>
  <c r="AC53" i="1"/>
  <c r="AC24" i="1"/>
  <c r="AC12" i="1"/>
  <c r="AC35" i="1"/>
  <c r="AC48" i="1"/>
  <c r="AC9" i="1"/>
  <c r="AC26" i="1"/>
  <c r="AC15" i="1"/>
  <c r="AC46" i="1"/>
  <c r="AC47" i="1"/>
  <c r="AC21" i="1"/>
  <c r="AC11" i="1"/>
  <c r="AC38" i="1"/>
  <c r="AC34" i="1"/>
  <c r="AC10" i="1"/>
  <c r="AC40" i="1"/>
  <c r="AC22" i="1"/>
  <c r="AC50" i="1"/>
  <c r="AC43" i="1"/>
  <c r="AC8" i="1"/>
  <c r="AC25" i="1"/>
  <c r="AC17" i="1"/>
  <c r="AC51" i="1"/>
  <c r="AC39" i="1"/>
  <c r="AC27" i="1"/>
  <c r="AC30" i="1"/>
  <c r="AC45" i="1"/>
  <c r="AC42" i="1"/>
  <c r="AC19" i="1"/>
  <c r="AC32" i="1"/>
  <c r="AC41" i="1"/>
  <c r="AC20" i="1"/>
  <c r="AC52" i="1"/>
  <c r="AC37" i="1"/>
  <c r="AC44" i="1"/>
  <c r="AC56" i="1"/>
  <c r="AC29" i="1"/>
  <c r="AC55" i="1"/>
  <c r="AC18" i="1"/>
  <c r="AC14" i="1"/>
  <c r="AC49" i="1"/>
  <c r="AC57" i="1"/>
  <c r="AC28" i="1"/>
  <c r="AC23" i="1"/>
  <c r="AC31" i="1"/>
  <c r="AC13" i="1"/>
  <c r="AC33" i="1"/>
  <c r="K58" i="36"/>
  <c r="G58" i="1"/>
  <c r="AB58" i="1"/>
  <c r="Y32" i="1" l="1"/>
  <c r="Y35" i="1"/>
  <c r="Y57" i="1"/>
  <c r="Y56" i="1"/>
  <c r="Y40" i="1"/>
  <c r="Y44" i="1"/>
  <c r="Y19" i="1"/>
  <c r="Y20" i="1"/>
  <c r="Y52" i="1"/>
  <c r="Y16" i="1"/>
  <c r="Y28" i="1"/>
  <c r="Y47" i="1"/>
  <c r="Y31" i="1"/>
  <c r="Y51" i="1"/>
  <c r="Y48" i="1"/>
  <c r="Y14" i="1"/>
  <c r="Y50" i="1"/>
  <c r="Y38" i="1"/>
  <c r="Y27" i="1"/>
  <c r="Y37" i="1"/>
  <c r="Y10" i="1"/>
  <c r="Y18" i="1"/>
  <c r="U58" i="1"/>
  <c r="Y24" i="1"/>
  <c r="X58" i="1"/>
  <c r="Y7" i="1"/>
  <c r="Y22" i="1"/>
  <c r="Y53" i="1"/>
  <c r="Y34" i="1"/>
  <c r="Y12" i="1"/>
  <c r="Y23" i="1"/>
  <c r="Y29" i="1"/>
  <c r="Y36" i="1"/>
  <c r="Y49" i="1"/>
  <c r="Y8" i="1"/>
  <c r="Y54" i="1"/>
  <c r="Y11" i="1"/>
  <c r="Y45" i="1"/>
  <c r="Y42" i="1"/>
  <c r="Y25" i="1"/>
  <c r="Y21" i="1"/>
  <c r="Y41" i="1"/>
  <c r="Y55" i="1"/>
  <c r="Y46" i="1"/>
  <c r="Y30" i="1"/>
  <c r="Y13" i="1"/>
  <c r="Y17" i="1"/>
  <c r="Y9" i="1"/>
  <c r="Y43" i="1"/>
  <c r="AC7" i="1"/>
  <c r="AC58" i="1" s="1"/>
  <c r="Y58" i="1" l="1"/>
  <c r="Z36" i="1" s="1"/>
  <c r="AD36" i="1" s="1"/>
  <c r="AE36" i="1" s="1"/>
  <c r="Z11" i="1" l="1"/>
  <c r="AD11" i="1" s="1"/>
  <c r="AE11" i="1" s="1"/>
  <c r="Z49" i="1"/>
  <c r="AD49" i="1" s="1"/>
  <c r="AE49" i="1" s="1"/>
  <c r="Z21" i="1"/>
  <c r="AD21" i="1" s="1"/>
  <c r="AE21" i="1" s="1"/>
  <c r="Z23" i="1"/>
  <c r="AD23" i="1" s="1"/>
  <c r="AE23" i="1" s="1"/>
  <c r="Z25" i="1"/>
  <c r="AD25" i="1" s="1"/>
  <c r="AE25" i="1" s="1"/>
  <c r="Z24" i="1"/>
  <c r="AD24" i="1" s="1"/>
  <c r="AE24" i="1" s="1"/>
  <c r="Z9" i="1"/>
  <c r="AD9" i="1" s="1"/>
  <c r="AE9" i="1" s="1"/>
  <c r="Z53" i="1"/>
  <c r="AD53" i="1" s="1"/>
  <c r="AE53" i="1" s="1"/>
  <c r="Z41" i="1"/>
  <c r="AD41" i="1" s="1"/>
  <c r="AE41" i="1" s="1"/>
  <c r="Z8" i="1"/>
  <c r="AD8" i="1" s="1"/>
  <c r="AE8" i="1" s="1"/>
  <c r="Z29" i="1"/>
  <c r="AD29" i="1" s="1"/>
  <c r="AE29" i="1" s="1"/>
  <c r="Z43" i="1"/>
  <c r="AD43" i="1" s="1"/>
  <c r="AE43" i="1" s="1"/>
  <c r="Z34" i="1"/>
  <c r="AD34" i="1" s="1"/>
  <c r="AE34" i="1" s="1"/>
  <c r="Z54" i="1"/>
  <c r="AD54" i="1" s="1"/>
  <c r="AE54" i="1" s="1"/>
  <c r="Z46" i="1"/>
  <c r="AD46" i="1" s="1"/>
  <c r="AE46" i="1" s="1"/>
  <c r="Z12" i="1"/>
  <c r="AD12" i="1" s="1"/>
  <c r="AE12" i="1" s="1"/>
  <c r="Z30" i="1"/>
  <c r="AD30" i="1" s="1"/>
  <c r="AE30" i="1" s="1"/>
  <c r="Z45" i="1"/>
  <c r="AD45" i="1" s="1"/>
  <c r="AE45" i="1" s="1"/>
  <c r="Z7" i="1"/>
  <c r="Z13" i="1"/>
  <c r="AD13" i="1" s="1"/>
  <c r="AE13" i="1" s="1"/>
  <c r="Z42" i="1"/>
  <c r="AD42" i="1" s="1"/>
  <c r="AE42" i="1" s="1"/>
  <c r="Z47" i="1"/>
  <c r="AD47" i="1" s="1"/>
  <c r="AE47" i="1" s="1"/>
  <c r="Z31" i="1"/>
  <c r="AD31" i="1" s="1"/>
  <c r="AE31" i="1" s="1"/>
  <c r="Z40" i="1"/>
  <c r="AD40" i="1" s="1"/>
  <c r="AE40" i="1" s="1"/>
  <c r="Z15" i="1"/>
  <c r="AD15" i="1" s="1"/>
  <c r="AE15" i="1" s="1"/>
  <c r="Z38" i="1"/>
  <c r="AD38" i="1" s="1"/>
  <c r="AE38" i="1" s="1"/>
  <c r="Z27" i="1"/>
  <c r="AD27" i="1" s="1"/>
  <c r="AE27" i="1" s="1"/>
  <c r="Z35" i="1"/>
  <c r="AD35" i="1" s="1"/>
  <c r="AE35" i="1" s="1"/>
  <c r="Z50" i="1"/>
  <c r="AD50" i="1" s="1"/>
  <c r="AE50" i="1" s="1"/>
  <c r="Z52" i="1"/>
  <c r="AD52" i="1" s="1"/>
  <c r="AE52" i="1" s="1"/>
  <c r="Z39" i="1"/>
  <c r="AD39" i="1" s="1"/>
  <c r="AE39" i="1" s="1"/>
  <c r="Z28" i="1"/>
  <c r="AD28" i="1" s="1"/>
  <c r="AE28" i="1" s="1"/>
  <c r="Z16" i="1"/>
  <c r="AD16" i="1" s="1"/>
  <c r="AE16" i="1" s="1"/>
  <c r="Z37" i="1"/>
  <c r="AD37" i="1" s="1"/>
  <c r="AE37" i="1" s="1"/>
  <c r="Z33" i="1"/>
  <c r="AD33" i="1" s="1"/>
  <c r="AE33" i="1" s="1"/>
  <c r="Z26" i="1"/>
  <c r="AD26" i="1" s="1"/>
  <c r="AE26" i="1" s="1"/>
  <c r="Z10" i="1"/>
  <c r="AD10" i="1" s="1"/>
  <c r="AE10" i="1" s="1"/>
  <c r="Z32" i="1"/>
  <c r="AD32" i="1" s="1"/>
  <c r="AE32" i="1" s="1"/>
  <c r="Z19" i="1"/>
  <c r="AD19" i="1" s="1"/>
  <c r="AE19" i="1" s="1"/>
  <c r="Z18" i="1"/>
  <c r="AD18" i="1" s="1"/>
  <c r="AE18" i="1" s="1"/>
  <c r="Z57" i="1"/>
  <c r="AD57" i="1" s="1"/>
  <c r="AE57" i="1" s="1"/>
  <c r="Z14" i="1"/>
  <c r="AD14" i="1" s="1"/>
  <c r="AE14" i="1" s="1"/>
  <c r="Z56" i="1"/>
  <c r="AD56" i="1" s="1"/>
  <c r="AE56" i="1" s="1"/>
  <c r="Z51" i="1"/>
  <c r="AD51" i="1" s="1"/>
  <c r="AE51" i="1" s="1"/>
  <c r="Z44" i="1"/>
  <c r="AD44" i="1" s="1"/>
  <c r="AE44" i="1" s="1"/>
  <c r="Z20" i="1"/>
  <c r="AD20" i="1" s="1"/>
  <c r="AE20" i="1" s="1"/>
  <c r="Z48" i="1"/>
  <c r="AD48" i="1" s="1"/>
  <c r="AE48" i="1" s="1"/>
  <c r="Z22" i="1"/>
  <c r="AD22" i="1" s="1"/>
  <c r="AE22" i="1" s="1"/>
  <c r="Z55" i="1"/>
  <c r="AD55" i="1" s="1"/>
  <c r="AE55" i="1" s="1"/>
  <c r="Z17" i="1"/>
  <c r="AD17" i="1" s="1"/>
  <c r="AE17" i="1" s="1"/>
  <c r="AD7" i="1" l="1"/>
  <c r="Z58" i="1"/>
  <c r="AD58" i="1" l="1"/>
  <c r="AE7" i="1"/>
  <c r="AE58" i="1" l="1"/>
  <c r="AF7" i="1" l="1"/>
  <c r="AL22" i="1"/>
  <c r="AL38" i="1"/>
  <c r="AL54" i="1"/>
  <c r="AL23" i="1"/>
  <c r="AL39" i="1"/>
  <c r="AL55" i="1"/>
  <c r="AL8" i="1"/>
  <c r="AL24" i="1"/>
  <c r="AL40" i="1"/>
  <c r="AL56" i="1"/>
  <c r="AL10" i="1"/>
  <c r="AL26" i="1"/>
  <c r="AL42" i="1"/>
  <c r="AL7" i="1"/>
  <c r="AL11" i="1"/>
  <c r="AL27" i="1"/>
  <c r="AL43" i="1"/>
  <c r="AL12" i="1"/>
  <c r="AL28" i="1"/>
  <c r="AL44" i="1"/>
  <c r="AL13" i="1"/>
  <c r="AL29" i="1"/>
  <c r="AL45" i="1"/>
  <c r="AL33" i="1"/>
  <c r="AL14" i="1"/>
  <c r="AL30" i="1"/>
  <c r="AL46" i="1"/>
  <c r="AL15" i="1"/>
  <c r="AL31" i="1"/>
  <c r="AL47" i="1"/>
  <c r="AL16" i="1"/>
  <c r="AL32" i="1"/>
  <c r="AL48" i="1"/>
  <c r="AL17" i="1"/>
  <c r="AL49" i="1"/>
  <c r="AL25" i="1"/>
  <c r="AL37" i="1"/>
  <c r="AL20" i="1"/>
  <c r="AL21" i="1"/>
  <c r="AL34" i="1"/>
  <c r="AL51" i="1"/>
  <c r="AL53" i="1"/>
  <c r="AL18" i="1"/>
  <c r="AL35" i="1"/>
  <c r="AL36" i="1"/>
  <c r="AL9" i="1"/>
  <c r="AL19" i="1"/>
  <c r="AL41" i="1"/>
  <c r="AL50" i="1"/>
  <c r="AL52" i="1"/>
  <c r="AL57" i="1"/>
  <c r="AF31" i="1"/>
  <c r="AF57" i="1"/>
  <c r="AF24" i="1"/>
  <c r="AF27" i="1"/>
  <c r="AF32" i="1"/>
  <c r="AF40" i="1"/>
  <c r="AF28" i="1"/>
  <c r="AF35" i="1"/>
  <c r="AF8" i="1"/>
  <c r="AF52" i="1"/>
  <c r="AF48" i="1"/>
  <c r="AF56" i="1"/>
  <c r="AF19" i="1"/>
  <c r="AF46" i="1"/>
  <c r="AF53" i="1"/>
  <c r="AF39" i="1"/>
  <c r="AF13" i="1"/>
  <c r="AF43" i="1"/>
  <c r="AF10" i="1"/>
  <c r="AF38" i="1"/>
  <c r="AF36" i="1"/>
  <c r="AF41" i="1"/>
  <c r="AF45" i="1"/>
  <c r="AF23" i="1"/>
  <c r="AF15" i="1"/>
  <c r="AF55" i="1"/>
  <c r="AF18" i="1"/>
  <c r="AF37" i="1"/>
  <c r="AF34" i="1"/>
  <c r="AF49" i="1"/>
  <c r="AF51" i="1"/>
  <c r="AF26" i="1"/>
  <c r="AF29" i="1"/>
  <c r="AF16" i="1"/>
  <c r="AF14" i="1"/>
  <c r="AF11" i="1"/>
  <c r="AF30" i="1"/>
  <c r="AF17" i="1"/>
  <c r="AF20" i="1"/>
  <c r="AF12" i="1"/>
  <c r="AF25" i="1"/>
  <c r="AF22" i="1"/>
  <c r="AF54" i="1"/>
  <c r="AF44" i="1"/>
  <c r="AF47" i="1"/>
  <c r="AF33" i="1"/>
  <c r="AF50" i="1"/>
  <c r="AF42" i="1"/>
  <c r="AF21" i="1"/>
  <c r="AF9" i="1"/>
  <c r="G7" i="52" l="1"/>
  <c r="H7" i="51" s="1"/>
  <c r="E7" i="52"/>
  <c r="F7" i="51" s="1"/>
  <c r="D7" i="52"/>
  <c r="D7" i="51" s="1"/>
  <c r="H7" i="52"/>
  <c r="I7" i="51" s="1"/>
  <c r="F7" i="52"/>
  <c r="G7" i="51" s="1"/>
  <c r="C7" i="52"/>
  <c r="C7" i="51" s="1"/>
  <c r="G55" i="52"/>
  <c r="H55" i="51" s="1"/>
  <c r="D55" i="52"/>
  <c r="D55" i="51" s="1"/>
  <c r="F55" i="52"/>
  <c r="G55" i="51" s="1"/>
  <c r="H55" i="52"/>
  <c r="I55" i="51" s="1"/>
  <c r="E55" i="52"/>
  <c r="F55" i="51" s="1"/>
  <c r="C55" i="52"/>
  <c r="C55" i="51" s="1"/>
  <c r="F17" i="52"/>
  <c r="G17" i="51" s="1"/>
  <c r="H17" i="52"/>
  <c r="I17" i="51" s="1"/>
  <c r="E17" i="52"/>
  <c r="F17" i="51" s="1"/>
  <c r="G17" i="52"/>
  <c r="H17" i="51" s="1"/>
  <c r="D17" i="52"/>
  <c r="D17" i="51" s="1"/>
  <c r="C17" i="52"/>
  <c r="C17" i="51" s="1"/>
  <c r="H51" i="52"/>
  <c r="I51" i="51" s="1"/>
  <c r="F51" i="52"/>
  <c r="G51" i="51" s="1"/>
  <c r="D51" i="52"/>
  <c r="D51" i="51" s="1"/>
  <c r="G51" i="52"/>
  <c r="H51" i="51" s="1"/>
  <c r="E51" i="52"/>
  <c r="F51" i="51" s="1"/>
  <c r="C51" i="52"/>
  <c r="C51" i="51" s="1"/>
  <c r="D24" i="52"/>
  <c r="D24" i="51" s="1"/>
  <c r="H24" i="52"/>
  <c r="I24" i="51" s="1"/>
  <c r="F24" i="52"/>
  <c r="G24" i="51" s="1"/>
  <c r="E24" i="52"/>
  <c r="F24" i="51" s="1"/>
  <c r="G24" i="52"/>
  <c r="H24" i="51" s="1"/>
  <c r="C24" i="52"/>
  <c r="C24" i="51" s="1"/>
  <c r="G28" i="52"/>
  <c r="H28" i="51" s="1"/>
  <c r="F28" i="52"/>
  <c r="G28" i="51" s="1"/>
  <c r="D28" i="52"/>
  <c r="D28" i="51" s="1"/>
  <c r="H28" i="52"/>
  <c r="I28" i="51" s="1"/>
  <c r="E28" i="52"/>
  <c r="F28" i="51" s="1"/>
  <c r="C28" i="52"/>
  <c r="C28" i="51" s="1"/>
  <c r="E11" i="52"/>
  <c r="F11" i="51" s="1"/>
  <c r="G11" i="52"/>
  <c r="H11" i="51" s="1"/>
  <c r="H11" i="52"/>
  <c r="I11" i="51" s="1"/>
  <c r="F11" i="52"/>
  <c r="G11" i="51" s="1"/>
  <c r="D11" i="52"/>
  <c r="D11" i="51" s="1"/>
  <c r="C11" i="52"/>
  <c r="C11" i="51" s="1"/>
  <c r="H39" i="52"/>
  <c r="I39" i="51" s="1"/>
  <c r="G39" i="52"/>
  <c r="H39" i="51" s="1"/>
  <c r="F39" i="52"/>
  <c r="G39" i="51" s="1"/>
  <c r="D39" i="52"/>
  <c r="D39" i="51" s="1"/>
  <c r="E39" i="52"/>
  <c r="F39" i="51" s="1"/>
  <c r="C39" i="52"/>
  <c r="C39" i="51" s="1"/>
  <c r="E29" i="52"/>
  <c r="F29" i="51" s="1"/>
  <c r="H29" i="52"/>
  <c r="I29" i="51" s="1"/>
  <c r="G29" i="52"/>
  <c r="H29" i="51" s="1"/>
  <c r="D29" i="52"/>
  <c r="D29" i="51" s="1"/>
  <c r="F29" i="52"/>
  <c r="G29" i="51" s="1"/>
  <c r="C29" i="52"/>
  <c r="C29" i="51" s="1"/>
  <c r="H37" i="52"/>
  <c r="I37" i="51" s="1"/>
  <c r="G37" i="52"/>
  <c r="H37" i="51" s="1"/>
  <c r="E37" i="52"/>
  <c r="F37" i="51" s="1"/>
  <c r="F37" i="52"/>
  <c r="G37" i="51" s="1"/>
  <c r="D37" i="52"/>
  <c r="D37" i="51" s="1"/>
  <c r="C37" i="52"/>
  <c r="C37" i="51" s="1"/>
  <c r="G9" i="52"/>
  <c r="H9" i="51" s="1"/>
  <c r="D9" i="52"/>
  <c r="D9" i="51" s="1"/>
  <c r="E9" i="52"/>
  <c r="F9" i="51" s="1"/>
  <c r="H9" i="52"/>
  <c r="I9" i="51" s="1"/>
  <c r="F9" i="52"/>
  <c r="G9" i="51" s="1"/>
  <c r="C9" i="52"/>
  <c r="C9" i="51" s="1"/>
  <c r="F36" i="52"/>
  <c r="G36" i="51" s="1"/>
  <c r="H36" i="52"/>
  <c r="I36" i="51" s="1"/>
  <c r="G36" i="52"/>
  <c r="H36" i="51" s="1"/>
  <c r="E36" i="52"/>
  <c r="F36" i="51" s="1"/>
  <c r="D36" i="52"/>
  <c r="D36" i="51" s="1"/>
  <c r="C36" i="52"/>
  <c r="C36" i="51" s="1"/>
  <c r="G53" i="52"/>
  <c r="H53" i="51" s="1"/>
  <c r="H53" i="52"/>
  <c r="I53" i="51" s="1"/>
  <c r="E53" i="52"/>
  <c r="F53" i="51" s="1"/>
  <c r="F53" i="52"/>
  <c r="G53" i="51" s="1"/>
  <c r="D53" i="52"/>
  <c r="D53" i="51" s="1"/>
  <c r="C53" i="52"/>
  <c r="C53" i="51" s="1"/>
  <c r="G47" i="52"/>
  <c r="H47" i="51" s="1"/>
  <c r="F47" i="52"/>
  <c r="G47" i="51" s="1"/>
  <c r="H47" i="52"/>
  <c r="I47" i="51" s="1"/>
  <c r="D47" i="52"/>
  <c r="D47" i="51" s="1"/>
  <c r="E47" i="52"/>
  <c r="F47" i="51" s="1"/>
  <c r="C47" i="52"/>
  <c r="C47" i="51" s="1"/>
  <c r="F21" i="52"/>
  <c r="G21" i="51" s="1"/>
  <c r="H21" i="52"/>
  <c r="I21" i="51" s="1"/>
  <c r="E21" i="52"/>
  <c r="F21" i="51" s="1"/>
  <c r="D21" i="52"/>
  <c r="D21" i="51" s="1"/>
  <c r="G21" i="52"/>
  <c r="H21" i="51" s="1"/>
  <c r="C21" i="52"/>
  <c r="C21" i="51" s="1"/>
  <c r="H22" i="52"/>
  <c r="I22" i="51" s="1"/>
  <c r="F22" i="52"/>
  <c r="G22" i="51" s="1"/>
  <c r="G22" i="52"/>
  <c r="H22" i="51" s="1"/>
  <c r="E22" i="52"/>
  <c r="F22" i="51" s="1"/>
  <c r="D22" i="52"/>
  <c r="D22" i="51" s="1"/>
  <c r="C22" i="52"/>
  <c r="C22" i="51" s="1"/>
  <c r="F23" i="52"/>
  <c r="G23" i="51" s="1"/>
  <c r="H23" i="52"/>
  <c r="I23" i="51" s="1"/>
  <c r="D23" i="52"/>
  <c r="D23" i="51" s="1"/>
  <c r="E23" i="52"/>
  <c r="F23" i="51" s="1"/>
  <c r="G23" i="52"/>
  <c r="H23" i="51" s="1"/>
  <c r="C23" i="52"/>
  <c r="C23" i="51" s="1"/>
  <c r="F8" i="52"/>
  <c r="G8" i="51" s="1"/>
  <c r="D8" i="52"/>
  <c r="D8" i="51" s="1"/>
  <c r="G8" i="52"/>
  <c r="H8" i="51" s="1"/>
  <c r="E8" i="52"/>
  <c r="F8" i="51" s="1"/>
  <c r="H8" i="52"/>
  <c r="I8" i="51" s="1"/>
  <c r="C8" i="52"/>
  <c r="C8" i="51" s="1"/>
  <c r="F12" i="52"/>
  <c r="G12" i="51" s="1"/>
  <c r="E12" i="52"/>
  <c r="F12" i="51" s="1"/>
  <c r="D12" i="52"/>
  <c r="D12" i="51" s="1"/>
  <c r="G12" i="52"/>
  <c r="H12" i="51" s="1"/>
  <c r="H12" i="52"/>
  <c r="I12" i="51" s="1"/>
  <c r="C12" i="52"/>
  <c r="C12" i="51" s="1"/>
  <c r="F43" i="52"/>
  <c r="G43" i="51" s="1"/>
  <c r="D43" i="52"/>
  <c r="D43" i="51" s="1"/>
  <c r="G43" i="52"/>
  <c r="H43" i="51" s="1"/>
  <c r="E43" i="52"/>
  <c r="F43" i="51" s="1"/>
  <c r="H43" i="52"/>
  <c r="I43" i="51" s="1"/>
  <c r="C43" i="52"/>
  <c r="C43" i="51" s="1"/>
  <c r="H19" i="52"/>
  <c r="I19" i="51" s="1"/>
  <c r="F19" i="52"/>
  <c r="G19" i="51" s="1"/>
  <c r="G19" i="52"/>
  <c r="H19" i="51" s="1"/>
  <c r="D19" i="52"/>
  <c r="D19" i="51" s="1"/>
  <c r="E19" i="52"/>
  <c r="F19" i="51" s="1"/>
  <c r="C19" i="52"/>
  <c r="C19" i="51" s="1"/>
  <c r="F27" i="52"/>
  <c r="G27" i="51" s="1"/>
  <c r="H27" i="52"/>
  <c r="I27" i="51" s="1"/>
  <c r="D27" i="52"/>
  <c r="D27" i="51" s="1"/>
  <c r="E27" i="52"/>
  <c r="F27" i="51" s="1"/>
  <c r="G27" i="52"/>
  <c r="H27" i="51" s="1"/>
  <c r="C27" i="52"/>
  <c r="C27" i="51" s="1"/>
  <c r="E40" i="52"/>
  <c r="F40" i="51" s="1"/>
  <c r="F40" i="52"/>
  <c r="G40" i="51" s="1"/>
  <c r="H40" i="52"/>
  <c r="I40" i="51" s="1"/>
  <c r="G40" i="52"/>
  <c r="H40" i="51" s="1"/>
  <c r="D40" i="52"/>
  <c r="D40" i="51" s="1"/>
  <c r="C40" i="52"/>
  <c r="C40" i="51" s="1"/>
  <c r="G31" i="52"/>
  <c r="H31" i="51" s="1"/>
  <c r="H31" i="52"/>
  <c r="I31" i="51" s="1"/>
  <c r="F31" i="52"/>
  <c r="G31" i="51" s="1"/>
  <c r="D31" i="52"/>
  <c r="D31" i="51" s="1"/>
  <c r="E31" i="52"/>
  <c r="F31" i="51" s="1"/>
  <c r="C31" i="52"/>
  <c r="C31" i="51" s="1"/>
  <c r="G10" i="52"/>
  <c r="H10" i="51" s="1"/>
  <c r="E10" i="52"/>
  <c r="F10" i="51" s="1"/>
  <c r="D10" i="52"/>
  <c r="D10" i="51" s="1"/>
  <c r="H10" i="52"/>
  <c r="I10" i="51" s="1"/>
  <c r="F10" i="52"/>
  <c r="G10" i="51" s="1"/>
  <c r="C10" i="52"/>
  <c r="C10" i="51" s="1"/>
  <c r="E42" i="52"/>
  <c r="F42" i="51" s="1"/>
  <c r="F42" i="52"/>
  <c r="G42" i="51" s="1"/>
  <c r="D42" i="52"/>
  <c r="D42" i="51" s="1"/>
  <c r="H42" i="52"/>
  <c r="I42" i="51" s="1"/>
  <c r="G42" i="52"/>
  <c r="H42" i="51" s="1"/>
  <c r="C42" i="52"/>
  <c r="C42" i="51" s="1"/>
  <c r="E20" i="52"/>
  <c r="F20" i="51" s="1"/>
  <c r="D20" i="52"/>
  <c r="D20" i="51" s="1"/>
  <c r="G20" i="52"/>
  <c r="H20" i="51" s="1"/>
  <c r="H20" i="52"/>
  <c r="I20" i="51" s="1"/>
  <c r="F20" i="52"/>
  <c r="G20" i="51" s="1"/>
  <c r="C20" i="52"/>
  <c r="C20" i="51" s="1"/>
  <c r="D41" i="52"/>
  <c r="D41" i="51" s="1"/>
  <c r="G41" i="52"/>
  <c r="H41" i="51" s="1"/>
  <c r="E41" i="52"/>
  <c r="F41" i="51" s="1"/>
  <c r="H41" i="52"/>
  <c r="I41" i="51" s="1"/>
  <c r="F41" i="52"/>
  <c r="G41" i="51" s="1"/>
  <c r="C41" i="52"/>
  <c r="C41" i="51" s="1"/>
  <c r="G38" i="52"/>
  <c r="H38" i="51" s="1"/>
  <c r="F38" i="52"/>
  <c r="G38" i="51" s="1"/>
  <c r="D38" i="52"/>
  <c r="D38" i="51" s="1"/>
  <c r="H38" i="52"/>
  <c r="I38" i="51" s="1"/>
  <c r="E38" i="52"/>
  <c r="F38" i="51" s="1"/>
  <c r="C38" i="52"/>
  <c r="C38" i="51" s="1"/>
  <c r="H49" i="52"/>
  <c r="I49" i="51" s="1"/>
  <c r="F49" i="52"/>
  <c r="G49" i="51" s="1"/>
  <c r="D49" i="52"/>
  <c r="D49" i="51" s="1"/>
  <c r="E49" i="52"/>
  <c r="F49" i="51" s="1"/>
  <c r="G49" i="52"/>
  <c r="H49" i="51" s="1"/>
  <c r="C49" i="52"/>
  <c r="C49" i="51" s="1"/>
  <c r="H52" i="52"/>
  <c r="I52" i="51" s="1"/>
  <c r="F52" i="52"/>
  <c r="G52" i="51" s="1"/>
  <c r="G52" i="52"/>
  <c r="H52" i="51" s="1"/>
  <c r="D52" i="52"/>
  <c r="D52" i="51" s="1"/>
  <c r="E52" i="52"/>
  <c r="F52" i="51" s="1"/>
  <c r="C52" i="52"/>
  <c r="C52" i="51" s="1"/>
  <c r="F32" i="52"/>
  <c r="G32" i="51" s="1"/>
  <c r="H32" i="52"/>
  <c r="I32" i="51" s="1"/>
  <c r="D32" i="52"/>
  <c r="D32" i="51" s="1"/>
  <c r="E32" i="52"/>
  <c r="F32" i="51" s="1"/>
  <c r="G32" i="52"/>
  <c r="H32" i="51" s="1"/>
  <c r="C32" i="52"/>
  <c r="C32" i="51" s="1"/>
  <c r="D54" i="52"/>
  <c r="D54" i="51" s="1"/>
  <c r="F54" i="52"/>
  <c r="G54" i="51" s="1"/>
  <c r="E54" i="52"/>
  <c r="F54" i="51" s="1"/>
  <c r="G54" i="52"/>
  <c r="H54" i="51" s="1"/>
  <c r="H54" i="52"/>
  <c r="I54" i="51" s="1"/>
  <c r="C54" i="52"/>
  <c r="C54" i="51" s="1"/>
  <c r="E14" i="52"/>
  <c r="F14" i="51" s="1"/>
  <c r="G14" i="52"/>
  <c r="H14" i="51" s="1"/>
  <c r="H14" i="52"/>
  <c r="I14" i="51" s="1"/>
  <c r="D14" i="52"/>
  <c r="D14" i="51" s="1"/>
  <c r="F14" i="52"/>
  <c r="G14" i="51" s="1"/>
  <c r="C14" i="52"/>
  <c r="C14" i="51" s="1"/>
  <c r="F34" i="52"/>
  <c r="G34" i="51" s="1"/>
  <c r="D34" i="52"/>
  <c r="D34" i="51" s="1"/>
  <c r="E34" i="52"/>
  <c r="F34" i="51" s="1"/>
  <c r="H34" i="52"/>
  <c r="I34" i="51" s="1"/>
  <c r="G34" i="52"/>
  <c r="H34" i="51" s="1"/>
  <c r="C34" i="52"/>
  <c r="C34" i="51" s="1"/>
  <c r="D44" i="52"/>
  <c r="D44" i="51" s="1"/>
  <c r="F44" i="52"/>
  <c r="G44" i="51" s="1"/>
  <c r="E44" i="52"/>
  <c r="F44" i="51" s="1"/>
  <c r="H44" i="52"/>
  <c r="I44" i="51" s="1"/>
  <c r="G44" i="52"/>
  <c r="H44" i="51" s="1"/>
  <c r="C44" i="52"/>
  <c r="C44" i="51" s="1"/>
  <c r="F16" i="52"/>
  <c r="G16" i="51" s="1"/>
  <c r="E16" i="52"/>
  <c r="F16" i="51" s="1"/>
  <c r="G16" i="52"/>
  <c r="H16" i="51" s="1"/>
  <c r="D16" i="52"/>
  <c r="D16" i="51" s="1"/>
  <c r="H16" i="52"/>
  <c r="I16" i="51" s="1"/>
  <c r="C16" i="52"/>
  <c r="C16" i="51" s="1"/>
  <c r="H35" i="52"/>
  <c r="I35" i="51" s="1"/>
  <c r="F35" i="52"/>
  <c r="G35" i="51" s="1"/>
  <c r="G35" i="52"/>
  <c r="H35" i="51" s="1"/>
  <c r="D35" i="52"/>
  <c r="D35" i="51" s="1"/>
  <c r="E35" i="52"/>
  <c r="F35" i="51" s="1"/>
  <c r="C35" i="52"/>
  <c r="C35" i="51" s="1"/>
  <c r="E26" i="52"/>
  <c r="F26" i="51" s="1"/>
  <c r="D26" i="52"/>
  <c r="D26" i="51" s="1"/>
  <c r="H26" i="52"/>
  <c r="I26" i="51" s="1"/>
  <c r="F26" i="52"/>
  <c r="G26" i="51" s="1"/>
  <c r="G26" i="52"/>
  <c r="H26" i="51" s="1"/>
  <c r="C26" i="52"/>
  <c r="C26" i="51" s="1"/>
  <c r="H13" i="52"/>
  <c r="I13" i="51" s="1"/>
  <c r="E13" i="52"/>
  <c r="F13" i="51" s="1"/>
  <c r="F13" i="52"/>
  <c r="G13" i="51" s="1"/>
  <c r="G13" i="52"/>
  <c r="H13" i="51" s="1"/>
  <c r="D13" i="52"/>
  <c r="D13" i="51" s="1"/>
  <c r="C13" i="52"/>
  <c r="C13" i="51" s="1"/>
  <c r="F15" i="52"/>
  <c r="G15" i="51" s="1"/>
  <c r="G15" i="52"/>
  <c r="H15" i="51" s="1"/>
  <c r="H15" i="52"/>
  <c r="I15" i="51" s="1"/>
  <c r="D15" i="52"/>
  <c r="D15" i="51" s="1"/>
  <c r="E15" i="52"/>
  <c r="F15" i="51" s="1"/>
  <c r="C15" i="52"/>
  <c r="C15" i="51" s="1"/>
  <c r="E56" i="52"/>
  <c r="F56" i="51" s="1"/>
  <c r="G56" i="52"/>
  <c r="H56" i="51" s="1"/>
  <c r="H56" i="52"/>
  <c r="I56" i="51" s="1"/>
  <c r="F56" i="52"/>
  <c r="G56" i="51" s="1"/>
  <c r="D56" i="52"/>
  <c r="D56" i="51" s="1"/>
  <c r="C56" i="52"/>
  <c r="C56" i="51" s="1"/>
  <c r="D30" i="52"/>
  <c r="D30" i="51" s="1"/>
  <c r="H30" i="52"/>
  <c r="I30" i="51" s="1"/>
  <c r="G30" i="52"/>
  <c r="H30" i="51" s="1"/>
  <c r="F30" i="52"/>
  <c r="G30" i="51" s="1"/>
  <c r="E30" i="52"/>
  <c r="F30" i="51" s="1"/>
  <c r="C30" i="52"/>
  <c r="C30" i="51" s="1"/>
  <c r="G25" i="52"/>
  <c r="H25" i="51" s="1"/>
  <c r="D25" i="52"/>
  <c r="D25" i="51" s="1"/>
  <c r="E25" i="52"/>
  <c r="F25" i="51" s="1"/>
  <c r="H25" i="52"/>
  <c r="I25" i="51" s="1"/>
  <c r="F25" i="52"/>
  <c r="G25" i="51" s="1"/>
  <c r="C25" i="52"/>
  <c r="C25" i="51" s="1"/>
  <c r="H50" i="52"/>
  <c r="I50" i="51" s="1"/>
  <c r="F50" i="52"/>
  <c r="G50" i="51" s="1"/>
  <c r="D50" i="52"/>
  <c r="D50" i="51" s="1"/>
  <c r="E50" i="52"/>
  <c r="F50" i="51" s="1"/>
  <c r="G50" i="52"/>
  <c r="H50" i="51" s="1"/>
  <c r="C50" i="52"/>
  <c r="C50" i="51" s="1"/>
  <c r="H48" i="52"/>
  <c r="I48" i="51" s="1"/>
  <c r="F48" i="52"/>
  <c r="G48" i="51" s="1"/>
  <c r="G48" i="52"/>
  <c r="H48" i="51" s="1"/>
  <c r="E48" i="52"/>
  <c r="F48" i="51" s="1"/>
  <c r="D48" i="52"/>
  <c r="D48" i="51" s="1"/>
  <c r="C48" i="52"/>
  <c r="C48" i="51" s="1"/>
  <c r="F45" i="52"/>
  <c r="G45" i="51" s="1"/>
  <c r="G45" i="52"/>
  <c r="H45" i="51" s="1"/>
  <c r="D45" i="52"/>
  <c r="D45" i="51" s="1"/>
  <c r="E45" i="52"/>
  <c r="F45" i="51" s="1"/>
  <c r="H45" i="52"/>
  <c r="I45" i="51" s="1"/>
  <c r="C45" i="52"/>
  <c r="C45" i="51" s="1"/>
  <c r="H46" i="52"/>
  <c r="I46" i="51" s="1"/>
  <c r="D46" i="52"/>
  <c r="D46" i="51" s="1"/>
  <c r="G46" i="52"/>
  <c r="H46" i="51" s="1"/>
  <c r="F46" i="52"/>
  <c r="G46" i="51" s="1"/>
  <c r="E46" i="52"/>
  <c r="F46" i="51" s="1"/>
  <c r="C46" i="52"/>
  <c r="C46" i="51" s="1"/>
  <c r="H33" i="52"/>
  <c r="I33" i="51" s="1"/>
  <c r="F33" i="52"/>
  <c r="G33" i="51" s="1"/>
  <c r="E33" i="52"/>
  <c r="F33" i="51" s="1"/>
  <c r="D33" i="52"/>
  <c r="D33" i="51" s="1"/>
  <c r="G33" i="52"/>
  <c r="H33" i="51" s="1"/>
  <c r="C33" i="52"/>
  <c r="C33" i="51" s="1"/>
  <c r="E18" i="52"/>
  <c r="F18" i="51" s="1"/>
  <c r="H18" i="52"/>
  <c r="I18" i="51" s="1"/>
  <c r="F18" i="52"/>
  <c r="G18" i="51" s="1"/>
  <c r="G18" i="52"/>
  <c r="H18" i="51" s="1"/>
  <c r="D18" i="52"/>
  <c r="D18" i="51" s="1"/>
  <c r="C18" i="52"/>
  <c r="C18" i="51" s="1"/>
  <c r="G6" i="52"/>
  <c r="D6" i="52"/>
  <c r="F6" i="52"/>
  <c r="H6" i="52"/>
  <c r="E6" i="52"/>
  <c r="C6" i="52"/>
  <c r="AL58" i="1"/>
  <c r="AM9" i="1" s="1"/>
  <c r="AN9" i="1" s="1"/>
  <c r="H30" i="36"/>
  <c r="L30" i="36" s="1"/>
  <c r="M30" i="36" s="1"/>
  <c r="J29" i="51" s="1"/>
  <c r="H40" i="36"/>
  <c r="L40" i="36" s="1"/>
  <c r="M40" i="36" s="1"/>
  <c r="J39" i="51" s="1"/>
  <c r="H10" i="36"/>
  <c r="L10" i="36" s="1"/>
  <c r="M10" i="36" s="1"/>
  <c r="J9" i="51" s="1"/>
  <c r="H24" i="36"/>
  <c r="L24" i="36" s="1"/>
  <c r="M24" i="36" s="1"/>
  <c r="J23" i="51" s="1"/>
  <c r="H27" i="36"/>
  <c r="L27" i="36" s="1"/>
  <c r="M27" i="36" s="1"/>
  <c r="J26" i="51" s="1"/>
  <c r="H14" i="36"/>
  <c r="L14" i="36" s="1"/>
  <c r="M14" i="36" s="1"/>
  <c r="J13" i="51" s="1"/>
  <c r="H43" i="36"/>
  <c r="L43" i="36" s="1"/>
  <c r="M43" i="36" s="1"/>
  <c r="J42" i="51" s="1"/>
  <c r="H29" i="36"/>
  <c r="L29" i="36" s="1"/>
  <c r="M29" i="36" s="1"/>
  <c r="J28" i="51" s="1"/>
  <c r="H17" i="36"/>
  <c r="L17" i="36" s="1"/>
  <c r="M17" i="36" s="1"/>
  <c r="J16" i="51" s="1"/>
  <c r="H36" i="36"/>
  <c r="L36" i="36" s="1"/>
  <c r="M36" i="36" s="1"/>
  <c r="J35" i="51" s="1"/>
  <c r="H38" i="36"/>
  <c r="L38" i="36" s="1"/>
  <c r="M38" i="36" s="1"/>
  <c r="J37" i="51" s="1"/>
  <c r="H16" i="36"/>
  <c r="L16" i="36" s="1"/>
  <c r="M16" i="36" s="1"/>
  <c r="J15" i="51" s="1"/>
  <c r="H21" i="36"/>
  <c r="L21" i="36" s="1"/>
  <c r="M21" i="36" s="1"/>
  <c r="J20" i="51" s="1"/>
  <c r="H31" i="36"/>
  <c r="L31" i="36" s="1"/>
  <c r="M31" i="36" s="1"/>
  <c r="J30" i="51" s="1"/>
  <c r="H42" i="36"/>
  <c r="L42" i="36" s="1"/>
  <c r="M42" i="36" s="1"/>
  <c r="J41" i="51" s="1"/>
  <c r="H39" i="36"/>
  <c r="L39" i="36" s="1"/>
  <c r="M39" i="36" s="1"/>
  <c r="J38" i="51" s="1"/>
  <c r="AM14" i="1"/>
  <c r="AN14" i="1" s="1"/>
  <c r="H53" i="36"/>
  <c r="L53" i="36" s="1"/>
  <c r="M53" i="36" s="1"/>
  <c r="J52" i="51" s="1"/>
  <c r="H34" i="36"/>
  <c r="L34" i="36" s="1"/>
  <c r="M34" i="36" s="1"/>
  <c r="J33" i="51" s="1"/>
  <c r="H33" i="36"/>
  <c r="L33" i="36" s="1"/>
  <c r="M33" i="36" s="1"/>
  <c r="J32" i="51" s="1"/>
  <c r="H48" i="36"/>
  <c r="L48" i="36" s="1"/>
  <c r="M48" i="36" s="1"/>
  <c r="J47" i="51" s="1"/>
  <c r="H55" i="36"/>
  <c r="L55" i="36" s="1"/>
  <c r="M55" i="36" s="1"/>
  <c r="J54" i="51" s="1"/>
  <c r="H25" i="36"/>
  <c r="L25" i="36" s="1"/>
  <c r="M25" i="36" s="1"/>
  <c r="J24" i="51" s="1"/>
  <c r="H41" i="36"/>
  <c r="L41" i="36" s="1"/>
  <c r="M41" i="36" s="1"/>
  <c r="J40" i="51" s="1"/>
  <c r="H32" i="36"/>
  <c r="L32" i="36" s="1"/>
  <c r="M32" i="36" s="1"/>
  <c r="J31" i="51" s="1"/>
  <c r="H11" i="36"/>
  <c r="L11" i="36" s="1"/>
  <c r="M11" i="36" s="1"/>
  <c r="J10" i="51" s="1"/>
  <c r="H9" i="36"/>
  <c r="L9" i="36" s="1"/>
  <c r="M9" i="36" s="1"/>
  <c r="J8" i="51" s="1"/>
  <c r="H57" i="36"/>
  <c r="L57" i="36" s="1"/>
  <c r="M57" i="36" s="1"/>
  <c r="J56" i="51" s="1"/>
  <c r="H13" i="36"/>
  <c r="L13" i="36" s="1"/>
  <c r="M13" i="36" s="1"/>
  <c r="J12" i="51" s="1"/>
  <c r="AM56" i="1"/>
  <c r="AN56" i="1" s="1"/>
  <c r="H26" i="36"/>
  <c r="L26" i="36" s="1"/>
  <c r="M26" i="36" s="1"/>
  <c r="J25" i="51" s="1"/>
  <c r="H50" i="36"/>
  <c r="L50" i="36" s="1"/>
  <c r="M50" i="36" s="1"/>
  <c r="J49" i="51" s="1"/>
  <c r="H46" i="36"/>
  <c r="L46" i="36" s="1"/>
  <c r="M46" i="36" s="1"/>
  <c r="J45" i="51" s="1"/>
  <c r="H44" i="36"/>
  <c r="L44" i="36" s="1"/>
  <c r="M44" i="36" s="1"/>
  <c r="J43" i="51" s="1"/>
  <c r="H56" i="36"/>
  <c r="L56" i="36" s="1"/>
  <c r="M56" i="36" s="1"/>
  <c r="J55" i="51" s="1"/>
  <c r="H54" i="36"/>
  <c r="L54" i="36" s="1"/>
  <c r="M54" i="36" s="1"/>
  <c r="J53" i="51" s="1"/>
  <c r="H15" i="36"/>
  <c r="L15" i="36" s="1"/>
  <c r="M15" i="36" s="1"/>
  <c r="J14" i="51" s="1"/>
  <c r="H51" i="36"/>
  <c r="L51" i="36" s="1"/>
  <c r="M51" i="36" s="1"/>
  <c r="J50" i="51" s="1"/>
  <c r="H49" i="36"/>
  <c r="L49" i="36" s="1"/>
  <c r="M49" i="36" s="1"/>
  <c r="J48" i="51" s="1"/>
  <c r="H47" i="36"/>
  <c r="H19" i="36"/>
  <c r="L19" i="36" s="1"/>
  <c r="M19" i="36" s="1"/>
  <c r="J18" i="51" s="1"/>
  <c r="H37" i="36"/>
  <c r="L37" i="36" s="1"/>
  <c r="M37" i="36" s="1"/>
  <c r="J36" i="51" s="1"/>
  <c r="H18" i="36"/>
  <c r="L18" i="36" s="1"/>
  <c r="M18" i="36" s="1"/>
  <c r="J17" i="51" s="1"/>
  <c r="H22" i="36"/>
  <c r="L22" i="36" s="1"/>
  <c r="M22" i="36" s="1"/>
  <c r="J21" i="51" s="1"/>
  <c r="H52" i="36"/>
  <c r="L52" i="36" s="1"/>
  <c r="M52" i="36" s="1"/>
  <c r="J51" i="51" s="1"/>
  <c r="H8" i="36"/>
  <c r="H12" i="36"/>
  <c r="L12" i="36" s="1"/>
  <c r="M12" i="36" s="1"/>
  <c r="J11" i="51" s="1"/>
  <c r="H23" i="36"/>
  <c r="L23" i="36" s="1"/>
  <c r="M23" i="36" s="1"/>
  <c r="J22" i="51" s="1"/>
  <c r="H35" i="36"/>
  <c r="L35" i="36" s="1"/>
  <c r="M35" i="36" s="1"/>
  <c r="J34" i="51" s="1"/>
  <c r="H20" i="36"/>
  <c r="L20" i="36" s="1"/>
  <c r="M20" i="36" s="1"/>
  <c r="J19" i="51" s="1"/>
  <c r="H45" i="36"/>
  <c r="L45" i="36" s="1"/>
  <c r="M45" i="36" s="1"/>
  <c r="J44" i="51" s="1"/>
  <c r="H28" i="36"/>
  <c r="H7" i="36"/>
  <c r="L47" i="36"/>
  <c r="M47" i="36" s="1"/>
  <c r="J46" i="51" s="1"/>
  <c r="L28" i="36"/>
  <c r="M28" i="36" s="1"/>
  <c r="J27" i="51" s="1"/>
  <c r="L8" i="36"/>
  <c r="M8" i="36" s="1"/>
  <c r="J7" i="51" s="1"/>
  <c r="L7" i="36"/>
  <c r="AF58" i="1"/>
  <c r="I6" i="51" l="1"/>
  <c r="H57" i="52"/>
  <c r="D6" i="51"/>
  <c r="D57" i="52"/>
  <c r="H6" i="51"/>
  <c r="G57" i="52"/>
  <c r="G6" i="51"/>
  <c r="F57" i="52"/>
  <c r="C6" i="51"/>
  <c r="C57" i="52"/>
  <c r="F6" i="51"/>
  <c r="E57" i="52"/>
  <c r="L11" i="51"/>
  <c r="L51" i="51"/>
  <c r="L17" i="51"/>
  <c r="L10" i="51"/>
  <c r="L27" i="51"/>
  <c r="L14" i="51"/>
  <c r="L40" i="51"/>
  <c r="L24" i="51"/>
  <c r="L20" i="51"/>
  <c r="L26" i="51"/>
  <c r="L39" i="51"/>
  <c r="L15" i="51"/>
  <c r="L36" i="51"/>
  <c r="L31" i="51"/>
  <c r="L28" i="51"/>
  <c r="L48" i="51"/>
  <c r="L50" i="51"/>
  <c r="L13" i="51"/>
  <c r="L32" i="51"/>
  <c r="L55" i="51"/>
  <c r="L9" i="51"/>
  <c r="L29" i="51"/>
  <c r="L41" i="51"/>
  <c r="L56" i="51"/>
  <c r="L37" i="51"/>
  <c r="L42" i="51"/>
  <c r="L54" i="51"/>
  <c r="L47" i="51"/>
  <c r="L53" i="51"/>
  <c r="L23" i="51"/>
  <c r="L44" i="51"/>
  <c r="L19" i="51"/>
  <c r="L43" i="51"/>
  <c r="L52" i="51"/>
  <c r="L34" i="51"/>
  <c r="L45" i="51"/>
  <c r="L22" i="51"/>
  <c r="L16" i="51"/>
  <c r="L46" i="51"/>
  <c r="L18" i="51"/>
  <c r="L35" i="51"/>
  <c r="L8" i="51"/>
  <c r="L33" i="51"/>
  <c r="L49" i="51"/>
  <c r="L38" i="51"/>
  <c r="L25" i="51"/>
  <c r="L30" i="51"/>
  <c r="L12" i="51"/>
  <c r="L21" i="51"/>
  <c r="AM13" i="1"/>
  <c r="AN13" i="1" s="1"/>
  <c r="AM26" i="1"/>
  <c r="AN26" i="1" s="1"/>
  <c r="AM27" i="1"/>
  <c r="AN27" i="1" s="1"/>
  <c r="AM32" i="1"/>
  <c r="AN32" i="1" s="1"/>
  <c r="AM22" i="1"/>
  <c r="AN22" i="1" s="1"/>
  <c r="AM55" i="1"/>
  <c r="AN55" i="1" s="1"/>
  <c r="AM31" i="1"/>
  <c r="AN31" i="1" s="1"/>
  <c r="AM51" i="1"/>
  <c r="AN51" i="1" s="1"/>
  <c r="AM57" i="1"/>
  <c r="AN57" i="1" s="1"/>
  <c r="AM29" i="1"/>
  <c r="AN29" i="1" s="1"/>
  <c r="AM12" i="1"/>
  <c r="AN12" i="1" s="1"/>
  <c r="AM23" i="1"/>
  <c r="AN23" i="1" s="1"/>
  <c r="AM41" i="1"/>
  <c r="AN41" i="1" s="1"/>
  <c r="AM52" i="1"/>
  <c r="AN52" i="1" s="1"/>
  <c r="AM43" i="1"/>
  <c r="AN43" i="1" s="1"/>
  <c r="AM53" i="1"/>
  <c r="AN53" i="1" s="1"/>
  <c r="AM16" i="1"/>
  <c r="AN16" i="1" s="1"/>
  <c r="AM42" i="1"/>
  <c r="AN42" i="1" s="1"/>
  <c r="AM20" i="1"/>
  <c r="AN20" i="1" s="1"/>
  <c r="AM48" i="1"/>
  <c r="AN48" i="1" s="1"/>
  <c r="AM45" i="1"/>
  <c r="AN45" i="1" s="1"/>
  <c r="AM8" i="1"/>
  <c r="AN8" i="1" s="1"/>
  <c r="AM11" i="1"/>
  <c r="AN11" i="1" s="1"/>
  <c r="AM28" i="1"/>
  <c r="AN28" i="1" s="1"/>
  <c r="AM50" i="1"/>
  <c r="AN50" i="1" s="1"/>
  <c r="AM38" i="1"/>
  <c r="AN38" i="1" s="1"/>
  <c r="AM30" i="1"/>
  <c r="AN30" i="1" s="1"/>
  <c r="AM47" i="1"/>
  <c r="AN47" i="1" s="1"/>
  <c r="AM34" i="1"/>
  <c r="AN34" i="1" s="1"/>
  <c r="AM39" i="1"/>
  <c r="AN39" i="1" s="1"/>
  <c r="AM24" i="1"/>
  <c r="AN24" i="1" s="1"/>
  <c r="AM19" i="1"/>
  <c r="AN19" i="1" s="1"/>
  <c r="AM44" i="1"/>
  <c r="AN44" i="1" s="1"/>
  <c r="AM25" i="1"/>
  <c r="AN25" i="1" s="1"/>
  <c r="AM40" i="1"/>
  <c r="AN40" i="1" s="1"/>
  <c r="AM36" i="1"/>
  <c r="AN36" i="1" s="1"/>
  <c r="AM37" i="1"/>
  <c r="AN37" i="1" s="1"/>
  <c r="AM18" i="1"/>
  <c r="AN18" i="1" s="1"/>
  <c r="AM10" i="1"/>
  <c r="AN10" i="1" s="1"/>
  <c r="AM7" i="1"/>
  <c r="AM49" i="1"/>
  <c r="AN49" i="1" s="1"/>
  <c r="AM17" i="1"/>
  <c r="AN17" i="1" s="1"/>
  <c r="AM46" i="1"/>
  <c r="AN46" i="1" s="1"/>
  <c r="AM35" i="1"/>
  <c r="AN35" i="1" s="1"/>
  <c r="AM33" i="1"/>
  <c r="AN33" i="1" s="1"/>
  <c r="AM21" i="1"/>
  <c r="AN21" i="1" s="1"/>
  <c r="AM15" i="1"/>
  <c r="AN15" i="1" s="1"/>
  <c r="AM54" i="1"/>
  <c r="AN54" i="1" s="1"/>
  <c r="H58" i="36"/>
  <c r="L58" i="36"/>
  <c r="M7" i="36"/>
  <c r="F57" i="51" l="1"/>
  <c r="H57" i="51"/>
  <c r="C57" i="51"/>
  <c r="G57" i="51"/>
  <c r="D57" i="51"/>
  <c r="I57" i="51"/>
  <c r="J6" i="51"/>
  <c r="L7" i="51"/>
  <c r="L6" i="51"/>
  <c r="AN7" i="1"/>
  <c r="AN58" i="1" s="1"/>
  <c r="AM58" i="1"/>
  <c r="M58" i="36"/>
  <c r="J57" i="51" l="1"/>
  <c r="L57" i="51" s="1"/>
  <c r="N53" i="36"/>
  <c r="N21" i="36"/>
  <c r="N27" i="36"/>
  <c r="N42" i="36"/>
  <c r="N9" i="36"/>
  <c r="N12" i="36"/>
  <c r="N48" i="36"/>
  <c r="N36" i="36"/>
  <c r="N56" i="36"/>
  <c r="N50" i="36"/>
  <c r="N35" i="36"/>
  <c r="N22" i="36"/>
  <c r="N34" i="36"/>
  <c r="N49" i="36"/>
  <c r="N55" i="36"/>
  <c r="N26" i="36"/>
  <c r="N25" i="36"/>
  <c r="N57" i="36"/>
  <c r="N32" i="36"/>
  <c r="N37" i="36"/>
  <c r="N13" i="36"/>
  <c r="N33" i="36"/>
  <c r="N17" i="36"/>
  <c r="N10" i="36"/>
  <c r="N39" i="36"/>
  <c r="N43" i="36"/>
  <c r="N46" i="36"/>
  <c r="N23" i="36"/>
  <c r="N30" i="36"/>
  <c r="N51" i="36"/>
  <c r="N54" i="36"/>
  <c r="N52" i="36"/>
  <c r="N8" i="36"/>
  <c r="N16" i="36"/>
  <c r="N45" i="36"/>
  <c r="N47" i="36"/>
  <c r="N20" i="36"/>
  <c r="N11" i="36"/>
  <c r="N28" i="36"/>
  <c r="N18" i="36"/>
  <c r="N38" i="36"/>
  <c r="N41" i="36"/>
  <c r="N44" i="36"/>
  <c r="N29" i="36"/>
  <c r="N24" i="36"/>
  <c r="N19" i="36"/>
  <c r="N15" i="36"/>
  <c r="N31" i="36"/>
  <c r="N40" i="36"/>
  <c r="N14" i="36"/>
  <c r="N7" i="36"/>
  <c r="N58" i="36" l="1"/>
</calcChain>
</file>

<file path=xl/sharedStrings.xml><?xml version="1.0" encoding="utf-8"?>
<sst xmlns="http://schemas.openxmlformats.org/spreadsheetml/2006/main" count="598" uniqueCount="214">
  <si>
    <t>MUNICIPIO</t>
  </si>
  <si>
    <t>ABASOLO</t>
  </si>
  <si>
    <t>AGUALEGUAS</t>
  </si>
  <si>
    <t>ALLENDE</t>
  </si>
  <si>
    <t>APODACA</t>
  </si>
  <si>
    <t>ARAMBERRI</t>
  </si>
  <si>
    <t>BUSTAMANTE</t>
  </si>
  <si>
    <t>CHINA</t>
  </si>
  <si>
    <t>DOCTOR ARROYO</t>
  </si>
  <si>
    <t>DOCTOR COSS</t>
  </si>
  <si>
    <t>GALEANA</t>
  </si>
  <si>
    <t>GENERAL BRAVO</t>
  </si>
  <si>
    <t>GENERAL ESCOBEDO</t>
  </si>
  <si>
    <t>GENERAL TREVIÑO</t>
  </si>
  <si>
    <t>GENERAL ZARAGOZA</t>
  </si>
  <si>
    <t>GENERAL ZUAZUA</t>
  </si>
  <si>
    <t>GUADALUPE</t>
  </si>
  <si>
    <t>HIDALGO</t>
  </si>
  <si>
    <t>HIGUERAS</t>
  </si>
  <si>
    <t>HUALAHUISES</t>
  </si>
  <si>
    <t>ITURBIDE</t>
  </si>
  <si>
    <t>LAMPAZOS DE NARANJO</t>
  </si>
  <si>
    <t>LINARES</t>
  </si>
  <si>
    <t>MELCHOR OCAMPO</t>
  </si>
  <si>
    <t>MIER Y NORIEGA</t>
  </si>
  <si>
    <t>MINA</t>
  </si>
  <si>
    <t>MONTEMORELOS</t>
  </si>
  <si>
    <t>MONTERREY</t>
  </si>
  <si>
    <t>RAYONES</t>
  </si>
  <si>
    <t>SABINAS HIDALGO</t>
  </si>
  <si>
    <t>SALINAS VICTORIA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</si>
  <si>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</si>
  <si>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</si>
  <si>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</si>
  <si>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</si>
  <si>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</si>
  <si>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</si>
  <si>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</si>
  <si>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</si>
  <si>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</si>
  <si>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</si>
  <si>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</si>
  <si>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</si>
  <si>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</si>
  <si>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</si>
  <si>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</si>
  <si>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</si>
  <si>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</si>
  <si>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</si>
  <si>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</si>
  <si>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</si>
  <si>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</si>
  <si>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</si>
  <si>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</si>
  <si>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</si>
  <si>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t xml:space="preserve">FUENTE: </t>
  </si>
  <si>
    <t>ESTRUCTURA      %</t>
  </si>
  <si>
    <t>ESTRUCTURA     %</t>
  </si>
  <si>
    <t>COEFICIENTE  POBLACIÓN Y TERRITORIO</t>
  </si>
  <si>
    <t>COEFICIENTE  ÍNDICE MUNICIPAL DE POBREZA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</si>
  <si>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</si>
  <si>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</si>
  <si>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</si>
  <si>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</si>
  <si>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</si>
  <si>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</si>
  <si>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</si>
  <si>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</si>
  <si>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</si>
  <si>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</si>
  <si>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</si>
  <si>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</si>
  <si>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</si>
  <si>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</si>
  <si>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</si>
  <si>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</si>
  <si>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</si>
  <si>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MAE2=(PI*35%)+(PC*35%)+(CD*30%)</t>
  </si>
  <si>
    <t>FGP</t>
  </si>
  <si>
    <t>IEPS</t>
  </si>
  <si>
    <t>EFECTIVIDAD RECAUDACIÓN DE PREDIAL</t>
  </si>
  <si>
    <t>CER*50%</t>
  </si>
  <si>
    <t>CEPT*25%</t>
  </si>
  <si>
    <t>MAE1=(CEPT*25%)+(CIMP*25%)+(CER*50%)</t>
  </si>
  <si>
    <t>Fondo del Estado</t>
  </si>
  <si>
    <t>Porcentaje de distribución</t>
  </si>
  <si>
    <t>Fondo General de Participaciones (FGP)</t>
  </si>
  <si>
    <t>Impuesto Especial sobre Producción y Servicios (IEPS)</t>
  </si>
  <si>
    <t>SECRETARÍA DE FINANZAS Y TESORERÍA GENERAL DEL ESTADO</t>
  </si>
  <si>
    <t>FOFIR</t>
  </si>
  <si>
    <t>PROPORCION DE RECAUDACIÓN</t>
  </si>
  <si>
    <t>RECAUDACIÓN PONDERADO POR EFICIENCIA</t>
  </si>
  <si>
    <t>COEFICIENTE DE DISTRIBUCIÓN ANTES DE GARANTÍA</t>
  </si>
  <si>
    <t>Impuesto sobre la Venta Final de Gasolinas y Diesel (IEPSGD)</t>
  </si>
  <si>
    <t>Fondo de Fiscalización y Recaudación (FOFIR)</t>
  </si>
  <si>
    <t>Monto a distribuir</t>
  </si>
  <si>
    <t>DETERMINACIÓN PRELIMINAR DE LOS COEFICIENTES DE PARTICIPACIÓN DE RECURSOS A MUNICIPIOS POR VARIABLE (ARTÍCULO14 FRACC II LCH)</t>
  </si>
  <si>
    <t>MONTO OBS + ESTIM DE GASOLINAS</t>
  </si>
  <si>
    <t>Fondo de Compensacion ISAN</t>
  </si>
  <si>
    <t xml:space="preserve">Impuesto sobre Adquisición de Vehículos Nuevos (ISAN) </t>
  </si>
  <si>
    <t>ISAN</t>
  </si>
  <si>
    <t>COMP ISAN</t>
  </si>
  <si>
    <t>Fondo de Fomento Municipal (FFM) 30%</t>
  </si>
  <si>
    <t>Fondo de Fomento Municipal (FFM) 70%</t>
  </si>
  <si>
    <t>Las cifras de Recaudación y Facturación del Impuesto Predial fueron actualizadas para el Cálculo de Distribución. La población por Municipio para la entidad</t>
  </si>
  <si>
    <t>50%*CERi,t+20%*REi,t+30%*CCRi,t</t>
  </si>
  <si>
    <t>REi,t = Ri,t-1 /∑Ri,t-1</t>
  </si>
  <si>
    <t>CCRi,t=CRi,t /∑CRi,t</t>
  </si>
  <si>
    <t>CRi,t=(Ri,t-1/Ri,t-2)- 1</t>
  </si>
  <si>
    <t>Ri,t-2</t>
  </si>
  <si>
    <t>CERi,t = ERi,t-1 /∑ERi,t-1</t>
  </si>
  <si>
    <t>ERt-1 = Ri,t-1 / BGi,t-1</t>
  </si>
  <si>
    <t>Ri,t-1</t>
  </si>
  <si>
    <t>BGt-1</t>
  </si>
  <si>
    <t xml:space="preserve"> ESTIMACIÓN 30% FFM ANUAL</t>
  </si>
  <si>
    <t>DISTRIBUCIÓN POR RECAUDACION</t>
  </si>
  <si>
    <t>DISTRIBUCIÓN CRECIMIENTO RECAUDACION</t>
  </si>
  <si>
    <t xml:space="preserve">DISTRIBUCIÓN POR EFICIENCIA EN LA RECAUDACIÓN  </t>
  </si>
  <si>
    <t>COEFICIENTE  POR MONTO DE RECAUDACIÓN EN EL IMPUESTO PREDIAL</t>
  </si>
  <si>
    <t>COHEFICIENTE CRECIMIENTO RECAUDACION</t>
  </si>
  <si>
    <t>Tasa&gt;0</t>
  </si>
  <si>
    <t xml:space="preserve">TASA DE CRECIMIENTO EN LA RECAUDACIÓN EFECTIVA </t>
  </si>
  <si>
    <t>COEFICIENTE  DE EFICIENCIA RECAUDATORIA</t>
  </si>
  <si>
    <t>Eficiencia Recaudatoria</t>
  </si>
  <si>
    <t>COEFICIENTE DE DISTRIBUCIÓN  30% FFM Art 14 Frac III</t>
  </si>
  <si>
    <t>RECAUDACIÓN EN EL IMPUESTO PREDIAL</t>
  </si>
  <si>
    <t>CRECIMIENTO RECAUDACION</t>
  </si>
  <si>
    <t xml:space="preserve"> EFICIENCIA RECAUDATORIA</t>
  </si>
  <si>
    <t>BGt-2</t>
  </si>
  <si>
    <t>RPt-1</t>
  </si>
  <si>
    <t>CADEREYTA JIMÉNEZ</t>
  </si>
  <si>
    <t>EL CARMEN</t>
  </si>
  <si>
    <t>CERRALVO</t>
  </si>
  <si>
    <t>CIÉNEGA DE FLORES</t>
  </si>
  <si>
    <t>DOCTOR GONZÁLEZ</t>
  </si>
  <si>
    <t>GARCÍA</t>
  </si>
  <si>
    <t>GENERAL TERÁN</t>
  </si>
  <si>
    <t>LOS HERRERAS</t>
  </si>
  <si>
    <t>JUÁREZ</t>
  </si>
  <si>
    <t>MARÍN</t>
  </si>
  <si>
    <t>PARÁS</t>
  </si>
  <si>
    <t>PESQUERÍA</t>
  </si>
  <si>
    <t>LOS RAMONES</t>
  </si>
  <si>
    <t>SAN NICOLÁS DE LOS GARZA</t>
  </si>
  <si>
    <t>SAN PEDRO GARZA GARCÍA</t>
  </si>
  <si>
    <t>LOS ALDAMAS</t>
  </si>
  <si>
    <t>ANÁHUAC</t>
  </si>
  <si>
    <t>FFM 70%</t>
  </si>
  <si>
    <t>POBLACIÓN 2020</t>
  </si>
  <si>
    <t>POBLACIÓN  2020</t>
  </si>
  <si>
    <t xml:space="preserve">  Población 2020, Censo de Población y Vivienda, INEGI</t>
  </si>
  <si>
    <t xml:space="preserve">  Proyecciones de la Población 2015-2030, CONSEJO NACIONAL DE POBLACIÓN</t>
  </si>
  <si>
    <t>Total</t>
  </si>
  <si>
    <t>Las sumas puede no coincidr por el cuestiones de redondeo</t>
  </si>
  <si>
    <t>Nombre del Municipio</t>
  </si>
  <si>
    <t>Fondo General de Participaciones</t>
  </si>
  <si>
    <t>Fondo de Fomento Municipal
70%</t>
  </si>
  <si>
    <t>Fondo de Fomento Municipal
30%</t>
  </si>
  <si>
    <t>Impuesto Especial Sobre Producción y Servicios</t>
  </si>
  <si>
    <t>Fondo de Fiscalización y Recaudación</t>
  </si>
  <si>
    <t>Impuesto Sobre Adquisición de Vehículos Nuevos</t>
  </si>
  <si>
    <t>Fondo Compensación ISAN</t>
  </si>
  <si>
    <t>Intensidad de la Pobreza</t>
  </si>
  <si>
    <t>Proporcion de Intensidad de la Pobreza</t>
  </si>
  <si>
    <t xml:space="preserve">Distribución del 85% por Pobreza </t>
  </si>
  <si>
    <t>Mejora en Pobreza Municipal</t>
  </si>
  <si>
    <t>Proporción de la eficacia en Pobreza</t>
  </si>
  <si>
    <t xml:space="preserve">Distribución del 15% por eficacia de Pobreza </t>
  </si>
  <si>
    <t>Distribución por Indice de Pobreza</t>
  </si>
  <si>
    <t>PP2M</t>
  </si>
  <si>
    <t>PP1M</t>
  </si>
  <si>
    <t>CPP1M</t>
  </si>
  <si>
    <t>ICPM=(PP1M/∑PP1M)</t>
  </si>
  <si>
    <t>IP=(ICPM*CPP!M)</t>
  </si>
  <si>
    <t>IP/∑IP</t>
  </si>
  <si>
    <t>(0.85*CIMP)*(IP)</t>
  </si>
  <si>
    <t>M=PP2M/PP1M</t>
  </si>
  <si>
    <t>EP/∑EP</t>
  </si>
  <si>
    <t>(0.15*CIMP)*(EP/∑EP)</t>
  </si>
  <si>
    <t>DIPM</t>
  </si>
  <si>
    <t>CDIPM</t>
  </si>
  <si>
    <t>Monto Distribuido 2021</t>
  </si>
  <si>
    <t>Diferencia</t>
  </si>
  <si>
    <t>FUENTE:
Facturación de Predial.- Instituto Registral y Catastral
Recaudación de Predial.- Municipios del Estado
Población.- Censo de Población y Vivienda 2020
Territorio.- INEGI
Vairables de Social 2015 Y 2020.- CONEVAL</t>
  </si>
  <si>
    <t>FONDO DE ISR POR LA ENAJENACIÓN DE BIENES INMUEBLES</t>
  </si>
  <si>
    <t xml:space="preserve"> MUNICIPIO </t>
  </si>
  <si>
    <t>COEFICIENTE</t>
  </si>
  <si>
    <t>DISTRIBUCIÓN</t>
  </si>
  <si>
    <t xml:space="preserve">         TOTAL </t>
  </si>
  <si>
    <t>SUBTOTAL</t>
  </si>
  <si>
    <t>Impuesto sobre la Renta de Enajenación de Bienes Inmuebles (ISR BI)</t>
  </si>
  <si>
    <t>PERSONAS EN POBREZA 2015</t>
  </si>
  <si>
    <t>PERSONAS EN POBREZA 2020</t>
  </si>
  <si>
    <t>RECAUDACIÓN 2021</t>
  </si>
  <si>
    <t>SUBSECRETARÍA DE POLITICA DE INGRESOS, COORDINACIÓN DE PLANEACIÓN HACENDARIA</t>
  </si>
  <si>
    <t>IEPS GYD</t>
  </si>
  <si>
    <t>Incidencia de la Pobreza 2020</t>
  </si>
  <si>
    <t>Carencias promedio en situación de pobreza 2020</t>
  </si>
  <si>
    <t>ISR BI</t>
  </si>
  <si>
    <t>FACTURACIÓN  2021
(20217-2021)</t>
  </si>
  <si>
    <t>RECAUDACIÓN 2022</t>
  </si>
  <si>
    <t>FACTURACIÓN 2022
(2018-2022)</t>
  </si>
  <si>
    <t>ISAI 2022</t>
  </si>
  <si>
    <t>Distribución Anual 2021</t>
  </si>
  <si>
    <t>COEFICIENTE BASE 2021</t>
  </si>
  <si>
    <t>PARTICIPACIONES A MUNICIPIOS 2021</t>
  </si>
  <si>
    <t>PROYECCIÓN DE POBLACIÓN 2023</t>
  </si>
  <si>
    <t>Participaciones PEF 2024</t>
  </si>
  <si>
    <t>Los montos no contiene ajustes ni compensación alguna</t>
  </si>
  <si>
    <t>CÁLCULO DE DISTRIBUCIÓN DE PARTICIPACIONES  2024</t>
  </si>
  <si>
    <t>Cálculo de Distribución 2024</t>
  </si>
  <si>
    <t>CÁLCULO DE PARTICIPACIONES DEL COPETE A MUNICIPIOS 2024</t>
  </si>
  <si>
    <t>2024</t>
  </si>
  <si>
    <t>MONTO ESTIM. DE 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</si>
</sst>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#,##0\ &quot;$&quot;;[Red]\-#,##0\ &quot;$&quot;"/>
    <numFmt numFmtId="168" formatCode="&quot;$&quot;\ #,##0.00"/>
    <numFmt numFmtId="169" formatCode="\U\ #,##0.00"/>
    <numFmt numFmtId="170" formatCode="_(* #,##0.000000_);_(* \(#,##0.000000\);_(* &quot;-&quot;??_);_(@_)"/>
    <numFmt numFmtId="171" formatCode="0.00000000%"/>
    <numFmt numFmtId="172" formatCode="_(* #,##0.00000000_);_(* \(#,##0.00000000\);_(* &quot;-&quot;??_);_(@_)"/>
    <numFmt numFmtId="173" formatCode="0.000000"/>
    <numFmt numFmtId="174" formatCode="0.00000000"/>
    <numFmt numFmtId="175" formatCode="0.0000000000"/>
    <numFmt numFmtId="176" formatCode="0.000000000"/>
    <numFmt numFmtId="177" formatCode="#,##0.0000;\-#,##0.0000"/>
    <numFmt numFmtId="178" formatCode="#,##0.00000000000;\-#,##0.00000000000"/>
    <numFmt numFmtId="179" formatCode="0.0000%"/>
    <numFmt numFmtId="180" formatCode="General_)"/>
    <numFmt numFmtId="181" formatCode="_-[$€-2]* #,##0.00_-;\-[$€-2]* #,##0.00_-;_-[$€-2]* &quot;-&quot;??_-"/>
    <numFmt numFmtId="182" formatCode="_-* #,##0_-;\-* #,##0_-;_-* &quot;-&quot;??_-;_-@_-"/>
    <numFmt numFmtId="183" formatCode="_-* #,##0.0000_-;\-* #,##0.0000_-;_-* &quot;-&quot;????_-;_-@_-"/>
    <numFmt numFmtId="184" formatCode="_-* #,##0.0000_-;\-* #,##0.0000_-;_-* &quot;-&quot;_-;_-@_-"/>
    <numFmt numFmtId="185" formatCode="_-* #,##0.0000_-;\-* #,##0.0000_-;_-* &quot;-&quot;??_-;_-@_-"/>
    <numFmt numFmtId="186" formatCode="#,##0.0000_ ;[Red]\-#,##0.0000\ "/>
    <numFmt numFmtId="187" formatCode="#,##0_ ;[Red]\-#,##0\ "/>
    <numFmt numFmtId="188" formatCode="0.00000000000"/>
    <numFmt numFmtId="189" formatCode="#,##0.00_ ;[Red]\-#,##0.00\ "/>
    <numFmt numFmtId="190" formatCode="_-* #,##0.000000_-;\-* #,##0.000000_-;_-* &quot;-&quot;??_-;_-@_-"/>
    <numFmt numFmtId="191" formatCode="_-* #,##0.00000_-;\-* #,##0.00000_-;_-* &quot;-&quot;??_-;_-@_-"/>
    <numFmt numFmtId="192" formatCode="#,##0.0000000;\-#,##0.0000000"/>
    <numFmt numFmtId="193" formatCode="#,##0.00000000;\-#,##0.00000000"/>
  </numFmts>
  <fonts count="6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000000"/>
      <name val="Arial"/>
      <family val="2"/>
    </font>
    <font>
      <b/>
      <sz val="10"/>
      <color indexed="62"/>
      <name val="Arial"/>
      <family val="2"/>
    </font>
    <font>
      <b/>
      <sz val="10"/>
      <color rgb="FF006100"/>
      <name val="Arial"/>
      <family val="2"/>
    </font>
    <font>
      <b/>
      <sz val="9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67" fontId="11" fillId="0" borderId="0" applyFont="0" applyFill="0" applyBorder="0" applyAlignment="0" applyProtection="0"/>
    <xf numFmtId="0" fontId="25" fillId="3" borderId="0" applyNumberFormat="0" applyBorder="0" applyAlignment="0" applyProtection="0"/>
    <xf numFmtId="164" fontId="11" fillId="0" borderId="0" applyFont="0" applyFill="0" applyBorder="0" applyAlignment="0" applyProtection="0"/>
    <xf numFmtId="0" fontId="26" fillId="22" borderId="0" applyNumberFormat="0" applyBorder="0" applyAlignment="0" applyProtection="0"/>
    <xf numFmtId="0" fontId="34" fillId="0" borderId="0"/>
    <xf numFmtId="0" fontId="13" fillId="0" borderId="0"/>
    <xf numFmtId="37" fontId="12" fillId="0" borderId="0"/>
    <xf numFmtId="0" fontId="17" fillId="23" borderId="4" applyNumberFormat="0" applyFont="0" applyAlignment="0" applyProtection="0"/>
    <xf numFmtId="168" fontId="13" fillId="0" borderId="0" applyFont="0" applyFill="0" applyBorder="0" applyAlignment="0" applyProtection="0">
      <alignment horizontal="right"/>
    </xf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  <xf numFmtId="169" fontId="14" fillId="0" borderId="0" applyFont="0" applyFill="0" applyBorder="0" applyAlignment="0" applyProtection="0">
      <alignment horizontal="right"/>
    </xf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0" fontId="1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81" fontId="11" fillId="0" borderId="0" applyFont="0" applyFill="0" applyBorder="0" applyAlignment="0" applyProtection="0"/>
    <xf numFmtId="0" fontId="25" fillId="3" borderId="0" applyNumberFormat="0" applyBorder="0" applyAlignment="0" applyProtection="0"/>
    <xf numFmtId="41" fontId="11" fillId="0" borderId="0" applyFont="0" applyFill="0" applyBorder="0" applyAlignment="0" applyProtection="0"/>
    <xf numFmtId="0" fontId="26" fillId="22" borderId="0" applyNumberFormat="0" applyBorder="0" applyAlignment="0" applyProtection="0"/>
    <xf numFmtId="0" fontId="11" fillId="23" borderId="4" applyNumberFormat="0" applyFont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0" fillId="0" borderId="0"/>
    <xf numFmtId="43" fontId="11" fillId="0" borderId="0" applyFont="0" applyFill="0" applyBorder="0" applyAlignment="0" applyProtection="0"/>
    <xf numFmtId="0" fontId="50" fillId="0" borderId="0"/>
    <xf numFmtId="0" fontId="9" fillId="0" borderId="0"/>
    <xf numFmtId="43" fontId="51" fillId="0" borderId="0" applyFont="0" applyFill="0" applyBorder="0" applyAlignment="0" applyProtection="0"/>
    <xf numFmtId="0" fontId="11" fillId="0" borderId="0"/>
    <xf numFmtId="9" fontId="8" fillId="0" borderId="0" applyFont="0" applyFill="0" applyBorder="0" applyAlignment="0" applyProtection="0"/>
    <xf numFmtId="0" fontId="11" fillId="0" borderId="0"/>
    <xf numFmtId="0" fontId="54" fillId="0" borderId="0"/>
    <xf numFmtId="43" fontId="5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5" fillId="2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6" fillId="0" borderId="0"/>
    <xf numFmtId="0" fontId="5" fillId="0" borderId="0"/>
    <xf numFmtId="43" fontId="5" fillId="0" borderId="0" applyFont="0" applyFill="0" applyBorder="0" applyAlignment="0" applyProtection="0"/>
    <xf numFmtId="0" fontId="20" fillId="16" borderId="73" applyNumberFormat="0" applyAlignment="0" applyProtection="0"/>
    <xf numFmtId="0" fontId="21" fillId="17" borderId="74" applyNumberFormat="0" applyAlignment="0" applyProtection="0"/>
    <xf numFmtId="0" fontId="24" fillId="7" borderId="73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23" borderId="75" applyNumberFormat="0" applyFont="0" applyAlignment="0" applyProtection="0"/>
    <xf numFmtId="0" fontId="27" fillId="16" borderId="76" applyNumberFormat="0" applyAlignment="0" applyProtection="0"/>
    <xf numFmtId="0" fontId="33" fillId="0" borderId="77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83">
    <xf numFmtId="0" fontId="0" fillId="0" borderId="0" xfId="0"/>
    <xf numFmtId="37" fontId="16" fillId="0" borderId="0" xfId="37" applyFont="1" applyAlignment="1" applyProtection="1">
      <alignment horizontal="center" vertical="center" wrapText="1"/>
      <protection hidden="1"/>
    </xf>
    <xf numFmtId="37" fontId="11" fillId="0" borderId="11" xfId="37" applyFont="1" applyBorder="1" applyAlignment="1" applyProtection="1">
      <alignment horizontal="left"/>
      <protection hidden="1"/>
    </xf>
    <xf numFmtId="37" fontId="11" fillId="0" borderId="20" xfId="37" applyFont="1" applyBorder="1" applyAlignment="1" applyProtection="1">
      <alignment horizontal="right"/>
      <protection hidden="1"/>
    </xf>
    <xf numFmtId="37" fontId="11" fillId="0" borderId="12" xfId="37" applyFont="1" applyBorder="1" applyAlignment="1" applyProtection="1">
      <alignment horizontal="left"/>
      <protection hidden="1"/>
    </xf>
    <xf numFmtId="37" fontId="11" fillId="0" borderId="22" xfId="37" applyFont="1" applyBorder="1" applyAlignment="1" applyProtection="1">
      <alignment horizontal="right"/>
      <protection hidden="1"/>
    </xf>
    <xf numFmtId="37" fontId="15" fillId="0" borderId="13" xfId="37" applyFont="1" applyBorder="1" applyAlignment="1" applyProtection="1">
      <alignment horizontal="left"/>
      <protection hidden="1"/>
    </xf>
    <xf numFmtId="37" fontId="15" fillId="0" borderId="14" xfId="37" applyFont="1" applyBorder="1" applyAlignment="1" applyProtection="1">
      <alignment horizontal="right"/>
      <protection hidden="1"/>
    </xf>
    <xf numFmtId="37" fontId="15" fillId="0" borderId="10" xfId="37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9" fontId="15" fillId="0" borderId="10" xfId="40" applyFont="1" applyFill="1" applyBorder="1" applyAlignment="1" applyProtection="1">
      <alignment horizontal="center" vertical="center" wrapText="1"/>
      <protection hidden="1"/>
    </xf>
    <xf numFmtId="37" fontId="11" fillId="0" borderId="0" xfId="37" applyFont="1" applyProtection="1">
      <protection hidden="1"/>
    </xf>
    <xf numFmtId="9" fontId="15" fillId="0" borderId="10" xfId="0" applyNumberFormat="1" applyFont="1" applyBorder="1" applyAlignment="1" applyProtection="1">
      <alignment horizontal="center" vertical="center" wrapText="1"/>
      <protection hidden="1"/>
    </xf>
    <xf numFmtId="37" fontId="36" fillId="0" borderId="0" xfId="37" applyFont="1" applyAlignment="1" applyProtection="1">
      <alignment horizontal="center" vertical="center"/>
      <protection hidden="1"/>
    </xf>
    <xf numFmtId="37" fontId="36" fillId="0" borderId="0" xfId="37" applyFont="1" applyProtection="1">
      <protection hidden="1"/>
    </xf>
    <xf numFmtId="37" fontId="41" fillId="0" borderId="0" xfId="37" applyFont="1" applyAlignment="1" applyProtection="1">
      <alignment horizontal="center" vertical="center" wrapText="1"/>
      <protection hidden="1"/>
    </xf>
    <xf numFmtId="37" fontId="41" fillId="0" borderId="0" xfId="37" applyFont="1" applyProtection="1">
      <protection hidden="1"/>
    </xf>
    <xf numFmtId="173" fontId="41" fillId="0" borderId="0" xfId="37" applyNumberFormat="1" applyFont="1" applyProtection="1">
      <protection hidden="1"/>
    </xf>
    <xf numFmtId="174" fontId="42" fillId="0" borderId="0" xfId="0" applyNumberFormat="1" applyFont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37" fontId="36" fillId="0" borderId="0" xfId="37" applyFont="1" applyAlignment="1" applyProtection="1">
      <alignment horizontal="center" vertical="center" wrapText="1"/>
      <protection hidden="1"/>
    </xf>
    <xf numFmtId="3" fontId="35" fillId="0" borderId="20" xfId="0" applyNumberFormat="1" applyFont="1" applyBorder="1" applyProtection="1">
      <protection hidden="1"/>
    </xf>
    <xf numFmtId="173" fontId="11" fillId="0" borderId="20" xfId="40" applyNumberFormat="1" applyFont="1" applyFill="1" applyBorder="1" applyProtection="1">
      <protection hidden="1"/>
    </xf>
    <xf numFmtId="165" fontId="11" fillId="0" borderId="20" xfId="33" applyNumberFormat="1" applyFont="1" applyFill="1" applyBorder="1" applyProtection="1">
      <protection hidden="1"/>
    </xf>
    <xf numFmtId="173" fontId="11" fillId="0" borderId="25" xfId="40" applyNumberFormat="1" applyFont="1" applyFill="1" applyBorder="1" applyProtection="1">
      <protection hidden="1"/>
    </xf>
    <xf numFmtId="170" fontId="11" fillId="0" borderId="20" xfId="33" applyNumberFormat="1" applyFont="1" applyFill="1" applyBorder="1" applyProtection="1">
      <protection hidden="1"/>
    </xf>
    <xf numFmtId="165" fontId="11" fillId="0" borderId="25" xfId="33" applyNumberFormat="1" applyFont="1" applyFill="1" applyBorder="1" applyProtection="1">
      <protection hidden="1"/>
    </xf>
    <xf numFmtId="37" fontId="11" fillId="0" borderId="11" xfId="37" applyFont="1" applyBorder="1" applyProtection="1">
      <protection hidden="1"/>
    </xf>
    <xf numFmtId="37" fontId="11" fillId="0" borderId="20" xfId="37" applyFont="1" applyBorder="1" applyProtection="1">
      <protection hidden="1"/>
    </xf>
    <xf numFmtId="174" fontId="11" fillId="0" borderId="21" xfId="40" applyNumberFormat="1" applyFont="1" applyBorder="1" applyProtection="1">
      <protection hidden="1"/>
    </xf>
    <xf numFmtId="3" fontId="35" fillId="0" borderId="22" xfId="0" applyNumberFormat="1" applyFont="1" applyBorder="1" applyProtection="1">
      <protection hidden="1"/>
    </xf>
    <xf numFmtId="173" fontId="11" fillId="0" borderId="22" xfId="40" applyNumberFormat="1" applyFont="1" applyFill="1" applyBorder="1" applyProtection="1">
      <protection hidden="1"/>
    </xf>
    <xf numFmtId="165" fontId="11" fillId="0" borderId="22" xfId="33" applyNumberFormat="1" applyFont="1" applyFill="1" applyBorder="1" applyProtection="1">
      <protection hidden="1"/>
    </xf>
    <xf numFmtId="173" fontId="11" fillId="0" borderId="26" xfId="40" applyNumberFormat="1" applyFont="1" applyFill="1" applyBorder="1" applyProtection="1">
      <protection hidden="1"/>
    </xf>
    <xf numFmtId="170" fontId="11" fillId="0" borderId="22" xfId="33" applyNumberFormat="1" applyFont="1" applyFill="1" applyBorder="1" applyProtection="1">
      <protection hidden="1"/>
    </xf>
    <xf numFmtId="165" fontId="11" fillId="0" borderId="26" xfId="33" applyNumberFormat="1" applyFont="1" applyFill="1" applyBorder="1" applyProtection="1">
      <protection hidden="1"/>
    </xf>
    <xf numFmtId="37" fontId="11" fillId="0" borderId="12" xfId="37" applyFont="1" applyBorder="1" applyProtection="1">
      <protection hidden="1"/>
    </xf>
    <xf numFmtId="37" fontId="11" fillId="0" borderId="22" xfId="37" applyFont="1" applyBorder="1" applyProtection="1">
      <protection hidden="1"/>
    </xf>
    <xf numFmtId="174" fontId="11" fillId="0" borderId="19" xfId="40" applyNumberFormat="1" applyFont="1" applyBorder="1" applyProtection="1">
      <protection hidden="1"/>
    </xf>
    <xf numFmtId="3" fontId="37" fillId="0" borderId="14" xfId="0" applyNumberFormat="1" applyFont="1" applyBorder="1" applyProtection="1">
      <protection hidden="1"/>
    </xf>
    <xf numFmtId="173" fontId="15" fillId="0" borderId="14" xfId="40" applyNumberFormat="1" applyFont="1" applyFill="1" applyBorder="1" applyProtection="1">
      <protection hidden="1"/>
    </xf>
    <xf numFmtId="165" fontId="15" fillId="0" borderId="14" xfId="33" applyNumberFormat="1" applyFont="1" applyFill="1" applyBorder="1" applyProtection="1">
      <protection hidden="1"/>
    </xf>
    <xf numFmtId="173" fontId="15" fillId="0" borderId="24" xfId="40" applyNumberFormat="1" applyFont="1" applyFill="1" applyBorder="1" applyProtection="1">
      <protection hidden="1"/>
    </xf>
    <xf numFmtId="170" fontId="15" fillId="0" borderId="14" xfId="33" applyNumberFormat="1" applyFont="1" applyFill="1" applyBorder="1" applyProtection="1">
      <protection hidden="1"/>
    </xf>
    <xf numFmtId="165" fontId="15" fillId="0" borderId="24" xfId="40" applyNumberFormat="1" applyFont="1" applyFill="1" applyBorder="1" applyProtection="1">
      <protection hidden="1"/>
    </xf>
    <xf numFmtId="37" fontId="15" fillId="0" borderId="13" xfId="37" applyFont="1" applyBorder="1" applyProtection="1">
      <protection hidden="1"/>
    </xf>
    <xf numFmtId="37" fontId="15" fillId="0" borderId="14" xfId="37" applyFont="1" applyBorder="1" applyProtection="1">
      <protection hidden="1"/>
    </xf>
    <xf numFmtId="174" fontId="15" fillId="0" borderId="15" xfId="40" applyNumberFormat="1" applyFont="1" applyBorder="1" applyProtection="1">
      <protection hidden="1"/>
    </xf>
    <xf numFmtId="173" fontId="11" fillId="0" borderId="0" xfId="37" applyNumberFormat="1" applyFont="1" applyProtection="1">
      <protection hidden="1"/>
    </xf>
    <xf numFmtId="39" fontId="11" fillId="0" borderId="0" xfId="37" applyNumberFormat="1" applyFont="1" applyProtection="1">
      <protection hidden="1"/>
    </xf>
    <xf numFmtId="174" fontId="11" fillId="0" borderId="0" xfId="37" applyNumberFormat="1" applyFont="1" applyProtection="1">
      <protection hidden="1"/>
    </xf>
    <xf numFmtId="166" fontId="11" fillId="0" borderId="0" xfId="40" applyNumberFormat="1" applyFont="1" applyProtection="1">
      <protection hidden="1"/>
    </xf>
    <xf numFmtId="166" fontId="11" fillId="0" borderId="0" xfId="40" applyNumberFormat="1" applyFont="1" applyFill="1" applyProtection="1">
      <protection hidden="1"/>
    </xf>
    <xf numFmtId="39" fontId="15" fillId="0" borderId="10" xfId="37" applyNumberFormat="1" applyFont="1" applyBorder="1" applyAlignment="1" applyProtection="1">
      <alignment horizontal="center" vertical="center" wrapText="1"/>
      <protection hidden="1"/>
    </xf>
    <xf numFmtId="37" fontId="38" fillId="0" borderId="0" xfId="37" applyFont="1" applyAlignment="1" applyProtection="1">
      <alignment horizontal="center" vertical="center" wrapText="1"/>
      <protection hidden="1"/>
    </xf>
    <xf numFmtId="39" fontId="36" fillId="0" borderId="0" xfId="37" applyNumberFormat="1" applyFont="1" applyAlignment="1" applyProtection="1">
      <alignment horizontal="center" vertical="center" wrapText="1"/>
      <protection hidden="1"/>
    </xf>
    <xf numFmtId="174" fontId="41" fillId="0" borderId="0" xfId="37" applyNumberFormat="1" applyFont="1" applyProtection="1">
      <protection hidden="1"/>
    </xf>
    <xf numFmtId="39" fontId="41" fillId="0" borderId="0" xfId="37" applyNumberFormat="1" applyFont="1" applyAlignment="1" applyProtection="1">
      <alignment horizontal="center" vertical="center" wrapText="1"/>
      <protection hidden="1"/>
    </xf>
    <xf numFmtId="174" fontId="41" fillId="0" borderId="0" xfId="37" applyNumberFormat="1" applyFont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horizontal="center" vertical="center" wrapText="1"/>
      <protection hidden="1"/>
    </xf>
    <xf numFmtId="37" fontId="45" fillId="0" borderId="0" xfId="37" applyFont="1" applyAlignment="1" applyProtection="1">
      <alignment horizontal="center"/>
      <protection hidden="1"/>
    </xf>
    <xf numFmtId="37" fontId="11" fillId="0" borderId="0" xfId="37" applyFont="1" applyAlignment="1" applyProtection="1">
      <alignment wrapText="1"/>
      <protection hidden="1"/>
    </xf>
    <xf numFmtId="37" fontId="49" fillId="0" borderId="0" xfId="37" applyFont="1" applyProtection="1">
      <protection hidden="1"/>
    </xf>
    <xf numFmtId="173" fontId="36" fillId="0" borderId="0" xfId="0" applyNumberFormat="1" applyFont="1" applyAlignment="1" applyProtection="1">
      <alignment horizontal="center" vertical="center" wrapText="1"/>
      <protection hidden="1"/>
    </xf>
    <xf numFmtId="174" fontId="38" fillId="0" borderId="0" xfId="39" applyNumberFormat="1" applyFont="1" applyFill="1" applyBorder="1" applyAlignment="1" applyProtection="1">
      <alignment horizontal="center" vertical="center" wrapText="1"/>
      <protection hidden="1"/>
    </xf>
    <xf numFmtId="174" fontId="36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6" fillId="0" borderId="0" xfId="0" applyNumberFormat="1" applyFont="1" applyAlignment="1" applyProtection="1">
      <alignment horizontal="center" vertical="center" wrapText="1"/>
      <protection hidden="1"/>
    </xf>
    <xf numFmtId="168" fontId="36" fillId="0" borderId="0" xfId="39" applyFont="1" applyFill="1" applyBorder="1" applyAlignment="1" applyProtection="1">
      <alignment horizontal="center" vertical="center" wrapText="1"/>
      <protection hidden="1"/>
    </xf>
    <xf numFmtId="175" fontId="11" fillId="0" borderId="20" xfId="40" applyNumberFormat="1" applyFont="1" applyFill="1" applyBorder="1" applyProtection="1">
      <protection hidden="1"/>
    </xf>
    <xf numFmtId="175" fontId="11" fillId="0" borderId="22" xfId="40" applyNumberFormat="1" applyFont="1" applyFill="1" applyBorder="1" applyProtection="1">
      <protection hidden="1"/>
    </xf>
    <xf numFmtId="175" fontId="15" fillId="0" borderId="14" xfId="40" applyNumberFormat="1" applyFont="1" applyFill="1" applyBorder="1" applyProtection="1">
      <protection hidden="1"/>
    </xf>
    <xf numFmtId="176" fontId="11" fillId="0" borderId="20" xfId="40" applyNumberFormat="1" applyFont="1" applyFill="1" applyBorder="1" applyProtection="1">
      <protection hidden="1"/>
    </xf>
    <xf numFmtId="176" fontId="11" fillId="0" borderId="22" xfId="40" applyNumberFormat="1" applyFont="1" applyFill="1" applyBorder="1" applyProtection="1">
      <protection hidden="1"/>
    </xf>
    <xf numFmtId="176" fontId="15" fillId="0" borderId="14" xfId="40" applyNumberFormat="1" applyFont="1" applyFill="1" applyBorder="1" applyProtection="1">
      <protection hidden="1"/>
    </xf>
    <xf numFmtId="174" fontId="36" fillId="0" borderId="0" xfId="0" applyNumberFormat="1" applyFont="1" applyAlignment="1" applyProtection="1">
      <alignment horizontal="center" vertical="center" wrapText="1"/>
      <protection hidden="1"/>
    </xf>
    <xf numFmtId="174" fontId="44" fillId="0" borderId="0" xfId="37" applyNumberFormat="1" applyFont="1" applyAlignment="1" applyProtection="1">
      <alignment horizontal="center" vertical="center"/>
      <protection hidden="1"/>
    </xf>
    <xf numFmtId="174" fontId="43" fillId="0" borderId="10" xfId="0" applyNumberFormat="1" applyFont="1" applyBorder="1" applyAlignment="1" applyProtection="1">
      <alignment horizontal="center" vertical="center" wrapText="1"/>
      <protection hidden="1"/>
    </xf>
    <xf numFmtId="174" fontId="11" fillId="0" borderId="21" xfId="40" applyNumberFormat="1" applyFont="1" applyFill="1" applyBorder="1" applyProtection="1">
      <protection hidden="1"/>
    </xf>
    <xf numFmtId="174" fontId="11" fillId="0" borderId="19" xfId="40" applyNumberFormat="1" applyFont="1" applyFill="1" applyBorder="1" applyProtection="1">
      <protection hidden="1"/>
    </xf>
    <xf numFmtId="174" fontId="15" fillId="0" borderId="15" xfId="40" applyNumberFormat="1" applyFont="1" applyFill="1" applyBorder="1" applyProtection="1">
      <protection hidden="1"/>
    </xf>
    <xf numFmtId="37" fontId="45" fillId="0" borderId="0" xfId="37" applyFont="1" applyProtection="1">
      <protection hidden="1"/>
    </xf>
    <xf numFmtId="0" fontId="43" fillId="0" borderId="10" xfId="0" applyFont="1" applyBorder="1" applyAlignment="1" applyProtection="1">
      <alignment horizontal="center" vertical="center" wrapText="1"/>
      <protection hidden="1"/>
    </xf>
    <xf numFmtId="165" fontId="37" fillId="0" borderId="14" xfId="33" applyNumberFormat="1" applyFont="1" applyFill="1" applyBorder="1" applyProtection="1">
      <protection hidden="1"/>
    </xf>
    <xf numFmtId="0" fontId="15" fillId="0" borderId="28" xfId="0" applyFont="1" applyBorder="1" applyAlignment="1" applyProtection="1">
      <alignment horizontal="center" vertical="center" wrapText="1"/>
      <protection hidden="1"/>
    </xf>
    <xf numFmtId="174" fontId="15" fillId="0" borderId="28" xfId="0" applyNumberFormat="1" applyFont="1" applyBorder="1" applyAlignment="1" applyProtection="1">
      <alignment horizontal="center" vertical="center" wrapText="1"/>
      <protection hidden="1"/>
    </xf>
    <xf numFmtId="174" fontId="36" fillId="0" borderId="0" xfId="37" applyNumberFormat="1" applyFont="1" applyProtection="1">
      <protection hidden="1"/>
    </xf>
    <xf numFmtId="174" fontId="36" fillId="0" borderId="0" xfId="37" applyNumberFormat="1" applyFont="1" applyAlignment="1" applyProtection="1">
      <alignment horizontal="center" vertical="center" wrapText="1"/>
      <protection hidden="1"/>
    </xf>
    <xf numFmtId="174" fontId="11" fillId="0" borderId="16" xfId="33" applyNumberFormat="1" applyFont="1" applyFill="1" applyBorder="1" applyProtection="1">
      <protection hidden="1"/>
    </xf>
    <xf numFmtId="174" fontId="11" fillId="0" borderId="21" xfId="37" applyNumberFormat="1" applyFont="1" applyBorder="1" applyProtection="1">
      <protection hidden="1"/>
    </xf>
    <xf numFmtId="174" fontId="11" fillId="0" borderId="17" xfId="33" applyNumberFormat="1" applyFont="1" applyFill="1" applyBorder="1" applyProtection="1">
      <protection hidden="1"/>
    </xf>
    <xf numFmtId="174" fontId="11" fillId="0" borderId="19" xfId="37" applyNumberFormat="1" applyFont="1" applyBorder="1" applyProtection="1">
      <protection hidden="1"/>
    </xf>
    <xf numFmtId="174" fontId="15" fillId="0" borderId="18" xfId="40" applyNumberFormat="1" applyFont="1" applyFill="1" applyBorder="1" applyProtection="1">
      <protection hidden="1"/>
    </xf>
    <xf numFmtId="174" fontId="15" fillId="0" borderId="15" xfId="37" applyNumberFormat="1" applyFont="1" applyBorder="1" applyProtection="1">
      <protection hidden="1"/>
    </xf>
    <xf numFmtId="0" fontId="11" fillId="0" borderId="0" xfId="53"/>
    <xf numFmtId="0" fontId="11" fillId="0" borderId="0" xfId="53" applyAlignment="1">
      <alignment vertical="center"/>
    </xf>
    <xf numFmtId="3" fontId="11" fillId="0" borderId="0" xfId="53" applyNumberFormat="1" applyAlignment="1">
      <alignment horizontal="center" vertical="center"/>
    </xf>
    <xf numFmtId="0" fontId="11" fillId="0" borderId="0" xfId="53" applyAlignment="1">
      <alignment horizontal="center" vertical="center"/>
    </xf>
    <xf numFmtId="182" fontId="0" fillId="0" borderId="0" xfId="51" applyNumberFormat="1" applyFont="1"/>
    <xf numFmtId="182" fontId="11" fillId="0" borderId="0" xfId="51" applyNumberFormat="1" applyFont="1"/>
    <xf numFmtId="37" fontId="52" fillId="0" borderId="0" xfId="37" applyFont="1" applyAlignment="1" applyProtection="1">
      <alignment horizontal="center" vertical="center" wrapText="1"/>
      <protection hidden="1"/>
    </xf>
    <xf numFmtId="37" fontId="15" fillId="0" borderId="0" xfId="37" applyFont="1" applyProtection="1">
      <protection hidden="1"/>
    </xf>
    <xf numFmtId="171" fontId="11" fillId="0" borderId="0" xfId="40" applyNumberFormat="1" applyFont="1" applyProtection="1">
      <protection hidden="1"/>
    </xf>
    <xf numFmtId="164" fontId="11" fillId="0" borderId="0" xfId="33" applyFont="1" applyBorder="1" applyProtection="1">
      <protection hidden="1"/>
    </xf>
    <xf numFmtId="179" fontId="11" fillId="0" borderId="0" xfId="40" applyNumberFormat="1" applyFont="1" applyProtection="1">
      <protection hidden="1"/>
    </xf>
    <xf numFmtId="178" fontId="11" fillId="0" borderId="0" xfId="37" applyNumberFormat="1" applyFont="1" applyProtection="1">
      <protection hidden="1"/>
    </xf>
    <xf numFmtId="177" fontId="11" fillId="0" borderId="0" xfId="37" applyNumberFormat="1" applyFont="1" applyProtection="1">
      <protection hidden="1"/>
    </xf>
    <xf numFmtId="37" fontId="11" fillId="0" borderId="23" xfId="37" applyFont="1" applyBorder="1" applyProtection="1">
      <protection hidden="1"/>
    </xf>
    <xf numFmtId="0" fontId="11" fillId="24" borderId="0" xfId="106" applyFill="1"/>
    <xf numFmtId="182" fontId="0" fillId="24" borderId="0" xfId="51" applyNumberFormat="1" applyFont="1" applyFill="1"/>
    <xf numFmtId="183" fontId="15" fillId="24" borderId="36" xfId="106" applyNumberFormat="1" applyFont="1" applyFill="1" applyBorder="1"/>
    <xf numFmtId="182" fontId="15" fillId="24" borderId="37" xfId="51" applyNumberFormat="1" applyFont="1" applyFill="1" applyBorder="1"/>
    <xf numFmtId="182" fontId="15" fillId="24" borderId="38" xfId="106" applyNumberFormat="1" applyFont="1" applyFill="1" applyBorder="1"/>
    <xf numFmtId="182" fontId="15" fillId="24" borderId="39" xfId="106" applyNumberFormat="1" applyFont="1" applyFill="1" applyBorder="1"/>
    <xf numFmtId="182" fontId="15" fillId="24" borderId="40" xfId="106" applyNumberFormat="1" applyFont="1" applyFill="1" applyBorder="1"/>
    <xf numFmtId="0" fontId="15" fillId="24" borderId="41" xfId="106" applyFont="1" applyFill="1" applyBorder="1"/>
    <xf numFmtId="184" fontId="15" fillId="24" borderId="37" xfId="106" applyNumberFormat="1" applyFont="1" applyFill="1" applyBorder="1"/>
    <xf numFmtId="185" fontId="15" fillId="24" borderId="39" xfId="51" applyNumberFormat="1" applyFont="1" applyFill="1" applyBorder="1"/>
    <xf numFmtId="185" fontId="15" fillId="24" borderId="39" xfId="106" applyNumberFormat="1" applyFont="1" applyFill="1" applyBorder="1"/>
    <xf numFmtId="185" fontId="15" fillId="24" borderId="38" xfId="51" applyNumberFormat="1" applyFont="1" applyFill="1" applyBorder="1"/>
    <xf numFmtId="185" fontId="15" fillId="24" borderId="39" xfId="107" applyNumberFormat="1" applyFont="1" applyFill="1" applyBorder="1"/>
    <xf numFmtId="182" fontId="15" fillId="24" borderId="39" xfId="51" applyNumberFormat="1" applyFont="1" applyFill="1" applyBorder="1"/>
    <xf numFmtId="182" fontId="15" fillId="24" borderId="40" xfId="51" applyNumberFormat="1" applyFont="1" applyFill="1" applyBorder="1"/>
    <xf numFmtId="183" fontId="11" fillId="24" borderId="35" xfId="106" applyNumberFormat="1" applyFill="1" applyBorder="1"/>
    <xf numFmtId="41" fontId="11" fillId="24" borderId="42" xfId="106" applyNumberFormat="1" applyFill="1" applyBorder="1"/>
    <xf numFmtId="182" fontId="0" fillId="24" borderId="43" xfId="51" applyNumberFormat="1" applyFont="1" applyFill="1" applyBorder="1"/>
    <xf numFmtId="182" fontId="0" fillId="24" borderId="0" xfId="51" applyNumberFormat="1" applyFont="1" applyFill="1" applyBorder="1"/>
    <xf numFmtId="182" fontId="0" fillId="24" borderId="44" xfId="51" applyNumberFormat="1" applyFont="1" applyFill="1" applyBorder="1"/>
    <xf numFmtId="0" fontId="15" fillId="24" borderId="34" xfId="106" applyFont="1" applyFill="1" applyBorder="1"/>
    <xf numFmtId="184" fontId="11" fillId="24" borderId="42" xfId="106" applyNumberFormat="1" applyFill="1" applyBorder="1"/>
    <xf numFmtId="185" fontId="0" fillId="24" borderId="0" xfId="51" applyNumberFormat="1" applyFont="1" applyFill="1" applyBorder="1"/>
    <xf numFmtId="185" fontId="0" fillId="24" borderId="43" xfId="51" applyNumberFormat="1" applyFont="1" applyFill="1" applyBorder="1"/>
    <xf numFmtId="185" fontId="0" fillId="24" borderId="0" xfId="107" applyNumberFormat="1" applyFont="1" applyFill="1" applyBorder="1"/>
    <xf numFmtId="183" fontId="11" fillId="24" borderId="45" xfId="106" applyNumberFormat="1" applyFill="1" applyBorder="1"/>
    <xf numFmtId="41" fontId="0" fillId="24" borderId="46" xfId="51" applyNumberFormat="1" applyFont="1" applyFill="1" applyBorder="1"/>
    <xf numFmtId="182" fontId="0" fillId="24" borderId="47" xfId="51" applyNumberFormat="1" applyFont="1" applyFill="1" applyBorder="1"/>
    <xf numFmtId="182" fontId="0" fillId="24" borderId="48" xfId="51" applyNumberFormat="1" applyFont="1" applyFill="1" applyBorder="1"/>
    <xf numFmtId="182" fontId="0" fillId="24" borderId="49" xfId="51" applyNumberFormat="1" applyFont="1" applyFill="1" applyBorder="1"/>
    <xf numFmtId="0" fontId="15" fillId="24" borderId="50" xfId="106" applyFont="1" applyFill="1" applyBorder="1"/>
    <xf numFmtId="184" fontId="11" fillId="24" borderId="46" xfId="106" applyNumberFormat="1" applyFill="1" applyBorder="1"/>
    <xf numFmtId="185" fontId="0" fillId="24" borderId="48" xfId="51" applyNumberFormat="1" applyFont="1" applyFill="1" applyBorder="1"/>
    <xf numFmtId="185" fontId="0" fillId="24" borderId="47" xfId="51" applyNumberFormat="1" applyFont="1" applyFill="1" applyBorder="1"/>
    <xf numFmtId="185" fontId="0" fillId="24" borderId="48" xfId="107" applyNumberFormat="1" applyFont="1" applyFill="1" applyBorder="1"/>
    <xf numFmtId="0" fontId="15" fillId="24" borderId="0" xfId="106" applyFont="1" applyFill="1"/>
    <xf numFmtId="0" fontId="15" fillId="0" borderId="0" xfId="106" applyFont="1"/>
    <xf numFmtId="0" fontId="36" fillId="24" borderId="0" xfId="106" applyFont="1" applyFill="1" applyAlignment="1">
      <alignment horizontal="center" vertical="center" wrapText="1"/>
    </xf>
    <xf numFmtId="0" fontId="15" fillId="24" borderId="33" xfId="106" applyFont="1" applyFill="1" applyBorder="1" applyAlignment="1">
      <alignment horizontal="center" vertical="center" wrapText="1"/>
    </xf>
    <xf numFmtId="0" fontId="15" fillId="24" borderId="51" xfId="106" applyFont="1" applyFill="1" applyBorder="1" applyAlignment="1">
      <alignment horizontal="center" vertical="center" wrapText="1"/>
    </xf>
    <xf numFmtId="0" fontId="15" fillId="24" borderId="52" xfId="106" applyFont="1" applyFill="1" applyBorder="1" applyAlignment="1">
      <alignment horizontal="center" vertical="center" wrapText="1"/>
    </xf>
    <xf numFmtId="0" fontId="15" fillId="24" borderId="32" xfId="106" applyFont="1" applyFill="1" applyBorder="1" applyAlignment="1">
      <alignment horizontal="center" vertical="center" wrapText="1"/>
    </xf>
    <xf numFmtId="0" fontId="15" fillId="24" borderId="53" xfId="106" applyFont="1" applyFill="1" applyBorder="1" applyAlignment="1">
      <alignment horizontal="center" vertical="center" wrapText="1"/>
    </xf>
    <xf numFmtId="0" fontId="15" fillId="24" borderId="31" xfId="106" applyFont="1" applyFill="1" applyBorder="1" applyAlignment="1">
      <alignment horizontal="center" vertical="center"/>
    </xf>
    <xf numFmtId="0" fontId="15" fillId="24" borderId="0" xfId="106" applyFont="1" applyFill="1" applyAlignment="1">
      <alignment horizontal="center" vertical="center" wrapText="1"/>
    </xf>
    <xf numFmtId="0" fontId="11" fillId="0" borderId="55" xfId="53" applyBorder="1" applyAlignment="1">
      <alignment vertical="center" wrapText="1"/>
    </xf>
    <xf numFmtId="43" fontId="11" fillId="0" borderId="0" xfId="53" applyNumberFormat="1"/>
    <xf numFmtId="43" fontId="0" fillId="0" borderId="0" xfId="51" applyFont="1"/>
    <xf numFmtId="0" fontId="15" fillId="0" borderId="55" xfId="53" applyFont="1" applyBorder="1" applyAlignment="1">
      <alignment horizontal="center" vertical="center" wrapText="1"/>
    </xf>
    <xf numFmtId="0" fontId="15" fillId="0" borderId="55" xfId="53" applyFont="1" applyBorder="1" applyAlignment="1">
      <alignment horizontal="center" vertical="center"/>
    </xf>
    <xf numFmtId="186" fontId="11" fillId="24" borderId="48" xfId="106" applyNumberFormat="1" applyFill="1" applyBorder="1"/>
    <xf numFmtId="186" fontId="11" fillId="24" borderId="0" xfId="106" applyNumberFormat="1" applyFill="1"/>
    <xf numFmtId="174" fontId="43" fillId="0" borderId="0" xfId="0" applyNumberFormat="1" applyFont="1" applyAlignment="1" applyProtection="1">
      <alignment horizontal="center" vertical="center" wrapText="1"/>
      <protection hidden="1"/>
    </xf>
    <xf numFmtId="174" fontId="11" fillId="0" borderId="56" xfId="33" applyNumberFormat="1" applyFont="1" applyFill="1" applyBorder="1" applyProtection="1">
      <protection hidden="1"/>
    </xf>
    <xf numFmtId="174" fontId="15" fillId="0" borderId="56" xfId="40" applyNumberFormat="1" applyFont="1" applyFill="1" applyBorder="1" applyProtection="1">
      <protection hidden="1"/>
    </xf>
    <xf numFmtId="165" fontId="11" fillId="0" borderId="0" xfId="33" applyNumberFormat="1"/>
    <xf numFmtId="188" fontId="11" fillId="0" borderId="0" xfId="53" applyNumberFormat="1"/>
    <xf numFmtId="188" fontId="11" fillId="0" borderId="0" xfId="33" applyNumberFormat="1"/>
    <xf numFmtId="10" fontId="11" fillId="0" borderId="0" xfId="40" applyNumberFormat="1" applyFont="1" applyAlignment="1" applyProtection="1">
      <alignment horizontal="center"/>
      <protection hidden="1"/>
    </xf>
    <xf numFmtId="187" fontId="0" fillId="0" borderId="0" xfId="51" applyNumberFormat="1" applyFont="1" applyFill="1" applyBorder="1"/>
    <xf numFmtId="0" fontId="15" fillId="0" borderId="50" xfId="106" applyFont="1" applyBorder="1"/>
    <xf numFmtId="0" fontId="15" fillId="0" borderId="34" xfId="106" applyFont="1" applyBorder="1"/>
    <xf numFmtId="189" fontId="11" fillId="0" borderId="0" xfId="53" applyNumberFormat="1"/>
    <xf numFmtId="189" fontId="11" fillId="0" borderId="0" xfId="51" applyNumberFormat="1" applyFont="1"/>
    <xf numFmtId="189" fontId="0" fillId="0" borderId="0" xfId="51" applyNumberFormat="1" applyFont="1"/>
    <xf numFmtId="164" fontId="11" fillId="0" borderId="0" xfId="33" applyFont="1"/>
    <xf numFmtId="164" fontId="0" fillId="0" borderId="0" xfId="33" applyFont="1"/>
    <xf numFmtId="182" fontId="0" fillId="0" borderId="0" xfId="51" applyNumberFormat="1" applyFont="1" applyFill="1" applyBorder="1"/>
    <xf numFmtId="187" fontId="0" fillId="0" borderId="0" xfId="33" applyNumberFormat="1" applyFont="1" applyFill="1" applyBorder="1"/>
    <xf numFmtId="187" fontId="11" fillId="0" borderId="55" xfId="33" applyNumberFormat="1" applyFont="1" applyFill="1" applyBorder="1" applyAlignment="1">
      <alignment vertical="center" wrapText="1"/>
    </xf>
    <xf numFmtId="187" fontId="11" fillId="0" borderId="55" xfId="53" applyNumberFormat="1" applyBorder="1" applyAlignment="1">
      <alignment horizontal="center" vertical="center" wrapText="1"/>
    </xf>
    <xf numFmtId="187" fontId="15" fillId="0" borderId="55" xfId="53" applyNumberFormat="1" applyFont="1" applyBorder="1" applyAlignment="1">
      <alignment horizontal="center" vertical="center"/>
    </xf>
    <xf numFmtId="187" fontId="15" fillId="0" borderId="55" xfId="53" applyNumberFormat="1" applyFont="1" applyBorder="1" applyAlignment="1">
      <alignment vertical="center"/>
    </xf>
    <xf numFmtId="37" fontId="15" fillId="24" borderId="58" xfId="37" applyFont="1" applyFill="1" applyBorder="1" applyAlignment="1" applyProtection="1">
      <alignment horizontal="center" vertical="center" wrapText="1"/>
      <protection hidden="1"/>
    </xf>
    <xf numFmtId="9" fontId="15" fillId="24" borderId="58" xfId="40" applyFont="1" applyFill="1" applyBorder="1" applyAlignment="1" applyProtection="1">
      <alignment horizontal="center" vertical="center" wrapText="1"/>
      <protection hidden="1"/>
    </xf>
    <xf numFmtId="173" fontId="15" fillId="24" borderId="58" xfId="40" applyNumberFormat="1" applyFont="1" applyFill="1" applyBorder="1" applyAlignment="1" applyProtection="1">
      <alignment horizontal="center" vertical="center" wrapText="1"/>
      <protection hidden="1"/>
    </xf>
    <xf numFmtId="173" fontId="43" fillId="0" borderId="10" xfId="0" applyNumberFormat="1" applyFont="1" applyBorder="1" applyAlignment="1" applyProtection="1">
      <alignment horizontal="center" vertical="center" wrapText="1"/>
      <protection hidden="1"/>
    </xf>
    <xf numFmtId="37" fontId="53" fillId="0" borderId="0" xfId="37" applyFont="1" applyAlignment="1" applyProtection="1">
      <alignment horizontal="center" vertical="center"/>
      <protection hidden="1"/>
    </xf>
    <xf numFmtId="37" fontId="11" fillId="0" borderId="0" xfId="37" applyFont="1" applyAlignment="1" applyProtection="1">
      <alignment horizontal="center" vertical="center" wrapText="1"/>
      <protection hidden="1"/>
    </xf>
    <xf numFmtId="173" fontId="11" fillId="0" borderId="0" xfId="37" applyNumberFormat="1" applyFont="1" applyAlignment="1" applyProtection="1">
      <alignment horizontal="center" vertical="center" wrapText="1"/>
      <protection hidden="1"/>
    </xf>
    <xf numFmtId="173" fontId="58" fillId="0" borderId="0" xfId="0" applyNumberFormat="1" applyFont="1" applyAlignment="1" applyProtection="1">
      <alignment horizontal="center" vertical="center" wrapText="1"/>
      <protection hidden="1"/>
    </xf>
    <xf numFmtId="165" fontId="35" fillId="0" borderId="20" xfId="33" applyNumberFormat="1" applyFont="1" applyBorder="1" applyProtection="1">
      <protection hidden="1"/>
    </xf>
    <xf numFmtId="170" fontId="35" fillId="0" borderId="20" xfId="33" applyNumberFormat="1" applyFont="1" applyBorder="1" applyProtection="1">
      <protection hidden="1"/>
    </xf>
    <xf numFmtId="190" fontId="35" fillId="0" borderId="20" xfId="33" applyNumberFormat="1" applyFont="1" applyBorder="1" applyProtection="1">
      <protection hidden="1"/>
    </xf>
    <xf numFmtId="172" fontId="35" fillId="0" borderId="20" xfId="33" applyNumberFormat="1" applyFont="1" applyBorder="1" applyProtection="1">
      <protection hidden="1"/>
    </xf>
    <xf numFmtId="173" fontId="11" fillId="0" borderId="21" xfId="40" applyNumberFormat="1" applyFont="1" applyFill="1" applyBorder="1" applyProtection="1">
      <protection hidden="1"/>
    </xf>
    <xf numFmtId="165" fontId="35" fillId="0" borderId="22" xfId="33" applyNumberFormat="1" applyFont="1" applyBorder="1" applyProtection="1">
      <protection hidden="1"/>
    </xf>
    <xf numFmtId="170" fontId="35" fillId="0" borderId="22" xfId="33" applyNumberFormat="1" applyFont="1" applyBorder="1" applyProtection="1">
      <protection hidden="1"/>
    </xf>
    <xf numFmtId="190" fontId="35" fillId="0" borderId="22" xfId="33" applyNumberFormat="1" applyFont="1" applyBorder="1" applyProtection="1">
      <protection hidden="1"/>
    </xf>
    <xf numFmtId="172" fontId="35" fillId="0" borderId="22" xfId="33" applyNumberFormat="1" applyFont="1" applyBorder="1" applyProtection="1">
      <protection hidden="1"/>
    </xf>
    <xf numFmtId="173" fontId="11" fillId="0" borderId="19" xfId="40" applyNumberFormat="1" applyFont="1" applyFill="1" applyBorder="1" applyProtection="1">
      <protection hidden="1"/>
    </xf>
    <xf numFmtId="165" fontId="15" fillId="0" borderId="13" xfId="33" applyNumberFormat="1" applyFont="1" applyFill="1" applyBorder="1" applyAlignment="1" applyProtection="1">
      <protection hidden="1"/>
    </xf>
    <xf numFmtId="165" fontId="15" fillId="0" borderId="14" xfId="33" applyNumberFormat="1" applyFont="1" applyFill="1" applyBorder="1" applyAlignment="1" applyProtection="1">
      <protection hidden="1"/>
    </xf>
    <xf numFmtId="170" fontId="15" fillId="0" borderId="14" xfId="33" applyNumberFormat="1" applyFont="1" applyFill="1" applyBorder="1" applyAlignment="1" applyProtection="1">
      <protection hidden="1"/>
    </xf>
    <xf numFmtId="172" fontId="15" fillId="0" borderId="14" xfId="33" applyNumberFormat="1" applyFont="1" applyFill="1" applyBorder="1" applyAlignment="1" applyProtection="1">
      <protection hidden="1"/>
    </xf>
    <xf numFmtId="165" fontId="15" fillId="0" borderId="15" xfId="33" applyNumberFormat="1" applyFont="1" applyFill="1" applyBorder="1" applyAlignment="1" applyProtection="1">
      <protection hidden="1"/>
    </xf>
    <xf numFmtId="173" fontId="15" fillId="0" borderId="15" xfId="40" applyNumberFormat="1" applyFont="1" applyFill="1" applyBorder="1" applyProtection="1">
      <protection hidden="1"/>
    </xf>
    <xf numFmtId="173" fontId="36" fillId="0" borderId="0" xfId="39" applyNumberFormat="1" applyFont="1" applyFill="1" applyBorder="1" applyAlignment="1" applyProtection="1">
      <alignment horizontal="center" vertical="center" wrapText="1"/>
      <protection hidden="1"/>
    </xf>
    <xf numFmtId="49" fontId="4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35" fillId="0" borderId="0" xfId="118" applyFont="1"/>
    <xf numFmtId="182" fontId="35" fillId="0" borderId="0" xfId="119" applyNumberFormat="1" applyFont="1"/>
    <xf numFmtId="0" fontId="15" fillId="0" borderId="55" xfId="53" applyFont="1" applyBorder="1" applyAlignment="1">
      <alignment vertical="center" wrapText="1"/>
    </xf>
    <xf numFmtId="187" fontId="15" fillId="0" borderId="55" xfId="33" applyNumberFormat="1" applyFont="1" applyFill="1" applyBorder="1" applyAlignment="1">
      <alignment vertical="center" wrapText="1"/>
    </xf>
    <xf numFmtId="187" fontId="15" fillId="0" borderId="55" xfId="53" applyNumberFormat="1" applyFont="1" applyBorder="1" applyAlignment="1">
      <alignment horizontal="center" vertical="center" wrapText="1"/>
    </xf>
    <xf numFmtId="187" fontId="15" fillId="0" borderId="55" xfId="33" applyNumberFormat="1" applyFont="1" applyFill="1" applyBorder="1" applyAlignment="1">
      <alignment horizontal="center" vertical="center" wrapText="1"/>
    </xf>
    <xf numFmtId="189" fontId="11" fillId="0" borderId="55" xfId="53" applyNumberFormat="1" applyBorder="1" applyAlignment="1">
      <alignment horizontal="center" vertical="center" wrapText="1"/>
    </xf>
    <xf numFmtId="0" fontId="57" fillId="26" borderId="57" xfId="0" applyFont="1" applyFill="1" applyBorder="1" applyAlignment="1">
      <alignment horizontal="center" vertical="center" wrapText="1"/>
    </xf>
    <xf numFmtId="182" fontId="57" fillId="26" borderId="57" xfId="33" applyNumberFormat="1" applyFont="1" applyFill="1" applyBorder="1" applyAlignment="1">
      <alignment horizontal="center" vertical="center" wrapText="1"/>
    </xf>
    <xf numFmtId="182" fontId="15" fillId="0" borderId="62" xfId="51" applyNumberFormat="1" applyFont="1" applyFill="1" applyBorder="1"/>
    <xf numFmtId="187" fontId="15" fillId="0" borderId="63" xfId="51" applyNumberFormat="1" applyFont="1" applyFill="1" applyBorder="1"/>
    <xf numFmtId="182" fontId="15" fillId="0" borderId="64" xfId="51" applyNumberFormat="1" applyFont="1" applyFill="1" applyBorder="1"/>
    <xf numFmtId="43" fontId="15" fillId="0" borderId="61" xfId="51" applyFont="1" applyFill="1" applyBorder="1" applyAlignment="1">
      <alignment horizontal="center" vertical="center"/>
    </xf>
    <xf numFmtId="0" fontId="57" fillId="26" borderId="66" xfId="0" applyFont="1" applyFill="1" applyBorder="1" applyAlignment="1">
      <alignment horizontal="center" vertical="center"/>
    </xf>
    <xf numFmtId="182" fontId="36" fillId="24" borderId="0" xfId="51" applyNumberFormat="1" applyFont="1" applyFill="1" applyAlignment="1">
      <alignment horizontal="center" vertical="center"/>
    </xf>
    <xf numFmtId="0" fontId="41" fillId="24" borderId="0" xfId="106" applyFont="1" applyFill="1"/>
    <xf numFmtId="9" fontId="36" fillId="24" borderId="0" xfId="107" applyFont="1" applyFill="1" applyAlignment="1">
      <alignment horizontal="center" vertical="center"/>
    </xf>
    <xf numFmtId="0" fontId="36" fillId="24" borderId="0" xfId="106" applyFont="1" applyFill="1"/>
    <xf numFmtId="165" fontId="15" fillId="0" borderId="67" xfId="33" applyNumberFormat="1" applyFont="1" applyFill="1" applyBorder="1"/>
    <xf numFmtId="187" fontId="15" fillId="0" borderId="65" xfId="51" applyNumberFormat="1" applyFont="1" applyFill="1" applyBorder="1"/>
    <xf numFmtId="164" fontId="11" fillId="0" borderId="0" xfId="33"/>
    <xf numFmtId="187" fontId="11" fillId="0" borderId="0" xfId="53" applyNumberFormat="1"/>
    <xf numFmtId="192" fontId="11" fillId="0" borderId="0" xfId="37" applyNumberFormat="1" applyFont="1" applyProtection="1">
      <protection hidden="1"/>
    </xf>
    <xf numFmtId="193" fontId="11" fillId="0" borderId="0" xfId="37" applyNumberFormat="1" applyFont="1" applyProtection="1">
      <protection hidden="1"/>
    </xf>
    <xf numFmtId="193" fontId="36" fillId="0" borderId="0" xfId="37" applyNumberFormat="1" applyFont="1" applyProtection="1">
      <protection hidden="1"/>
    </xf>
    <xf numFmtId="193" fontId="41" fillId="0" borderId="0" xfId="37" applyNumberFormat="1" applyFont="1" applyProtection="1">
      <protection hidden="1"/>
    </xf>
    <xf numFmtId="0" fontId="37" fillId="0" borderId="68" xfId="118" applyFont="1" applyBorder="1"/>
    <xf numFmtId="182" fontId="37" fillId="0" borderId="69" xfId="119" applyNumberFormat="1" applyFont="1" applyBorder="1" applyAlignment="1">
      <alignment horizontal="center" vertical="center"/>
    </xf>
    <xf numFmtId="0" fontId="37" fillId="0" borderId="69" xfId="118" applyFont="1" applyBorder="1" applyAlignment="1">
      <alignment horizontal="center"/>
    </xf>
    <xf numFmtId="182" fontId="37" fillId="0" borderId="70" xfId="119" applyNumberFormat="1" applyFont="1" applyBorder="1" applyAlignment="1">
      <alignment horizontal="center"/>
    </xf>
    <xf numFmtId="0" fontId="35" fillId="0" borderId="62" xfId="118" applyFont="1" applyBorder="1"/>
    <xf numFmtId="182" fontId="35" fillId="0" borderId="0" xfId="119" applyNumberFormat="1" applyFont="1" applyBorder="1" applyAlignment="1">
      <alignment horizontal="center"/>
    </xf>
    <xf numFmtId="191" fontId="35" fillId="0" borderId="0" xfId="118" applyNumberFormat="1" applyFont="1" applyBorder="1" applyAlignment="1">
      <alignment horizontal="center"/>
    </xf>
    <xf numFmtId="182" fontId="35" fillId="0" borderId="63" xfId="119" applyNumberFormat="1" applyFont="1" applyBorder="1" applyAlignment="1"/>
    <xf numFmtId="191" fontId="35" fillId="0" borderId="0" xfId="118" applyNumberFormat="1" applyFont="1" applyBorder="1"/>
    <xf numFmtId="0" fontId="37" fillId="0" borderId="71" xfId="118" applyFont="1" applyBorder="1"/>
    <xf numFmtId="182" fontId="37" fillId="0" borderId="27" xfId="119" applyNumberFormat="1" applyFont="1" applyBorder="1"/>
    <xf numFmtId="191" fontId="35" fillId="0" borderId="27" xfId="118" applyNumberFormat="1" applyFont="1" applyBorder="1"/>
    <xf numFmtId="182" fontId="35" fillId="0" borderId="72" xfId="119" applyNumberFormat="1" applyFont="1" applyBorder="1"/>
    <xf numFmtId="0" fontId="35" fillId="0" borderId="0" xfId="118" applyNumberFormat="1" applyFont="1"/>
    <xf numFmtId="0" fontId="11" fillId="24" borderId="0" xfId="106" applyNumberFormat="1" applyFill="1"/>
    <xf numFmtId="165" fontId="11" fillId="27" borderId="20" xfId="33" applyNumberFormat="1" applyFont="1" applyFill="1" applyBorder="1" applyAlignment="1" applyProtection="1">
      <alignment horizontal="right"/>
      <protection hidden="1"/>
    </xf>
    <xf numFmtId="165" fontId="11" fillId="27" borderId="23" xfId="33" applyNumberFormat="1" applyFont="1" applyFill="1" applyBorder="1" applyProtection="1">
      <protection hidden="1"/>
    </xf>
    <xf numFmtId="37" fontId="15" fillId="27" borderId="14" xfId="37" applyFont="1" applyFill="1" applyBorder="1" applyAlignment="1" applyProtection="1">
      <alignment horizontal="right"/>
      <protection hidden="1"/>
    </xf>
    <xf numFmtId="37" fontId="15" fillId="0" borderId="15" xfId="37" applyFont="1" applyBorder="1" applyAlignment="1" applyProtection="1">
      <alignment horizontal="right"/>
      <protection hidden="1"/>
    </xf>
    <xf numFmtId="192" fontId="11" fillId="0" borderId="21" xfId="37" applyNumberFormat="1" applyFont="1" applyBorder="1" applyAlignment="1" applyProtection="1">
      <alignment horizontal="right"/>
      <protection hidden="1"/>
    </xf>
    <xf numFmtId="192" fontId="11" fillId="0" borderId="19" xfId="37" applyNumberFormat="1" applyFont="1" applyBorder="1" applyProtection="1">
      <protection hidden="1"/>
    </xf>
    <xf numFmtId="192" fontId="15" fillId="0" borderId="15" xfId="37" applyNumberFormat="1" applyFont="1" applyBorder="1" applyAlignment="1" applyProtection="1">
      <alignment horizontal="right"/>
      <protection hidden="1"/>
    </xf>
    <xf numFmtId="37" fontId="11" fillId="0" borderId="21" xfId="37" applyFont="1" applyBorder="1" applyAlignment="1" applyProtection="1">
      <alignment horizontal="right"/>
      <protection hidden="1"/>
    </xf>
    <xf numFmtId="37" fontId="11" fillId="0" borderId="19" xfId="37" applyFont="1" applyBorder="1" applyAlignment="1" applyProtection="1">
      <alignment horizontal="right"/>
      <protection hidden="1"/>
    </xf>
    <xf numFmtId="37" fontId="15" fillId="0" borderId="30" xfId="37" applyFont="1" applyBorder="1" applyAlignment="1" applyProtection="1">
      <alignment horizontal="center" vertical="center" wrapText="1"/>
      <protection hidden="1"/>
    </xf>
    <xf numFmtId="3" fontId="11" fillId="0" borderId="0" xfId="53" applyNumberFormat="1"/>
    <xf numFmtId="0" fontId="11" fillId="0" borderId="0" xfId="51" applyNumberFormat="1" applyFont="1"/>
    <xf numFmtId="49" fontId="46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53" applyFont="1" applyAlignment="1">
      <alignment horizontal="center" vertical="center"/>
    </xf>
    <xf numFmtId="182" fontId="15" fillId="0" borderId="0" xfId="51" applyNumberFormat="1" applyFont="1" applyAlignment="1">
      <alignment horizontal="center"/>
    </xf>
    <xf numFmtId="37" fontId="11" fillId="0" borderId="0" xfId="37" applyFont="1" applyAlignment="1" applyProtection="1">
      <alignment horizontal="left" vertical="top" wrapText="1"/>
      <protection hidden="1"/>
    </xf>
    <xf numFmtId="0" fontId="44" fillId="0" borderId="27" xfId="0" applyFont="1" applyBorder="1" applyAlignment="1">
      <alignment horizontal="center"/>
    </xf>
    <xf numFmtId="37" fontId="44" fillId="0" borderId="27" xfId="37" applyFont="1" applyBorder="1" applyAlignment="1" applyProtection="1">
      <alignment horizontal="center"/>
      <protection hidden="1"/>
    </xf>
    <xf numFmtId="37" fontId="48" fillId="0" borderId="0" xfId="37" applyFont="1" applyAlignment="1" applyProtection="1">
      <alignment horizontal="center" vertical="center" wrapText="1"/>
      <protection hidden="1"/>
    </xf>
    <xf numFmtId="37" fontId="15" fillId="0" borderId="68" xfId="37" applyFont="1" applyBorder="1" applyAlignment="1" applyProtection="1">
      <alignment horizontal="center" vertical="center" wrapText="1"/>
      <protection hidden="1"/>
    </xf>
    <xf numFmtId="37" fontId="15" fillId="0" borderId="30" xfId="37" applyFont="1" applyBorder="1" applyAlignment="1" applyProtection="1">
      <alignment horizontal="center" vertical="center" wrapText="1"/>
      <protection hidden="1"/>
    </xf>
    <xf numFmtId="49" fontId="46" fillId="0" borderId="59" xfId="54" applyNumberFormat="1" applyFont="1" applyFill="1" applyBorder="1" applyAlignment="1" applyProtection="1">
      <alignment horizontal="center" vertical="center" wrapText="1"/>
      <protection hidden="1"/>
    </xf>
    <xf numFmtId="49" fontId="46" fillId="0" borderId="58" xfId="54" applyNumberFormat="1" applyFont="1" applyFill="1" applyBorder="1" applyAlignment="1" applyProtection="1">
      <alignment horizontal="center" vertical="center" wrapText="1"/>
      <protection hidden="1"/>
    </xf>
    <xf numFmtId="49" fontId="46" fillId="0" borderId="60" xfId="54" applyNumberFormat="1" applyFont="1" applyFill="1" applyBorder="1" applyAlignment="1" applyProtection="1">
      <alignment horizontal="center" vertical="center" wrapText="1"/>
      <protection hidden="1"/>
    </xf>
    <xf numFmtId="37" fontId="11" fillId="0" borderId="0" xfId="37" applyFont="1" applyAlignment="1" applyProtection="1">
      <alignment horizontal="center" vertical="center" wrapText="1"/>
      <protection hidden="1"/>
    </xf>
    <xf numFmtId="37" fontId="15" fillId="0" borderId="29" xfId="37" applyFont="1" applyBorder="1" applyAlignment="1" applyProtection="1">
      <alignment horizontal="center" vertical="center" wrapText="1"/>
      <protection hidden="1"/>
    </xf>
    <xf numFmtId="37" fontId="45" fillId="0" borderId="0" xfId="37" applyFont="1" applyAlignment="1" applyProtection="1">
      <alignment horizontal="center" wrapText="1"/>
      <protection hidden="1"/>
    </xf>
    <xf numFmtId="37" fontId="47" fillId="0" borderId="0" xfId="37" applyFont="1" applyAlignment="1" applyProtection="1">
      <alignment horizontal="center" wrapText="1"/>
      <protection hidden="1"/>
    </xf>
    <xf numFmtId="37" fontId="44" fillId="0" borderId="27" xfId="37" applyFont="1" applyBorder="1" applyAlignment="1" applyProtection="1">
      <alignment horizontal="center" vertical="center"/>
      <protection hidden="1"/>
    </xf>
    <xf numFmtId="37" fontId="11" fillId="0" borderId="27" xfId="37" applyFont="1" applyBorder="1" applyAlignment="1" applyProtection="1">
      <alignment horizontal="center" vertical="center"/>
      <protection hidden="1"/>
    </xf>
    <xf numFmtId="37" fontId="44" fillId="0" borderId="27" xfId="37" applyFont="1" applyBorder="1" applyAlignment="1" applyProtection="1">
      <alignment horizontal="center" vertical="center" wrapText="1"/>
      <protection hidden="1"/>
    </xf>
    <xf numFmtId="0" fontId="15" fillId="24" borderId="54" xfId="106" applyFont="1" applyFill="1" applyBorder="1" applyAlignment="1">
      <alignment horizontal="center" vertical="center"/>
    </xf>
    <xf numFmtId="0" fontId="15" fillId="24" borderId="54" xfId="106" applyFont="1" applyFill="1" applyBorder="1" applyAlignment="1">
      <alignment horizontal="center"/>
    </xf>
    <xf numFmtId="0" fontId="11" fillId="24" borderId="0" xfId="106" applyFill="1" applyAlignment="1">
      <alignment horizontal="center" vertical="center"/>
    </xf>
    <xf numFmtId="0" fontId="59" fillId="25" borderId="0" xfId="112" applyNumberFormat="1" applyFont="1" applyBorder="1" applyAlignment="1">
      <alignment horizontal="center"/>
    </xf>
    <xf numFmtId="49" fontId="60" fillId="0" borderId="27" xfId="118" applyNumberFormat="1" applyFont="1" applyBorder="1" applyAlignment="1">
      <alignment horizontal="center"/>
    </xf>
  </cellXfs>
  <cellStyles count="158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Buena 3" xfId="112"/>
    <cellStyle name="Cálculo" xfId="20" builtinId="22" customBuiltin="1"/>
    <cellStyle name="Cálculo 2" xfId="77"/>
    <cellStyle name="Cálculo 3" xfId="120"/>
    <cellStyle name="Celda de comprobación" xfId="21" builtinId="23" customBuiltin="1"/>
    <cellStyle name="Celda de comprobación 2" xfId="78"/>
    <cellStyle name="Celda de comprobación 3" xfId="121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ntrada 3" xfId="122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[0] 2 2" xfId="130"/>
    <cellStyle name="Millares [0] 2 3" xfId="140"/>
    <cellStyle name="Millares [0] 2 4" xfId="152"/>
    <cellStyle name="Millares [0] 3" xfId="124"/>
    <cellStyle name="Millares [0] 4" xfId="137"/>
    <cellStyle name="Millares [0] 5" xfId="149"/>
    <cellStyle name="Millares 10" xfId="148"/>
    <cellStyle name="Millares 12" xfId="105"/>
    <cellStyle name="Millares 2" xfId="51"/>
    <cellStyle name="Millares 2 2" xfId="54"/>
    <cellStyle name="Millares 2 2 2" xfId="102"/>
    <cellStyle name="Millares 2 2 3" xfId="133"/>
    <cellStyle name="Millares 2 2 4" xfId="143"/>
    <cellStyle name="Millares 2 2 5" xfId="155"/>
    <cellStyle name="Millares 2 3" xfId="129"/>
    <cellStyle name="Millares 2 4" xfId="139"/>
    <cellStyle name="Millares 2 5" xfId="151"/>
    <cellStyle name="Millares 3" xfId="52"/>
    <cellStyle name="Millares 3 2" xfId="128"/>
    <cellStyle name="Millares 3 3" xfId="138"/>
    <cellStyle name="Millares 3 4" xfId="150"/>
    <cellStyle name="Millares 4" xfId="110"/>
    <cellStyle name="Millares 5" xfId="114"/>
    <cellStyle name="Millares 5 2" xfId="119"/>
    <cellStyle name="Millares 6" xfId="116"/>
    <cellStyle name="Millares 7" xfId="123"/>
    <cellStyle name="Millares 8" xfId="136"/>
    <cellStyle name="Millares 9" xfId="147"/>
    <cellStyle name="Moneda 2" xfId="111"/>
    <cellStyle name="Moneda 2 2" xfId="135"/>
    <cellStyle name="Moneda 2 3" xfId="145"/>
    <cellStyle name="Moneda 2 4" xfId="157"/>
    <cellStyle name="Neutral" xfId="34" builtinId="28" customBuiltin="1"/>
    <cellStyle name="Neutral 2" xfId="91"/>
    <cellStyle name="Normal" xfId="0" builtinId="0"/>
    <cellStyle name="Normal 10" xfId="146"/>
    <cellStyle name="Normal 2" xfId="35"/>
    <cellStyle name="Normal 2 2" xfId="103"/>
    <cellStyle name="Normal 2 3" xfId="106"/>
    <cellStyle name="Normal 2 4" xfId="108"/>
    <cellStyle name="Normal 2 5" xfId="117"/>
    <cellStyle name="Normal 2 6" xfId="131"/>
    <cellStyle name="Normal 2 7" xfId="141"/>
    <cellStyle name="Normal 2 8" xfId="153"/>
    <cellStyle name="Normal 3" xfId="36"/>
    <cellStyle name="Normal 3 2" xfId="134"/>
    <cellStyle name="Normal 3 3" xfId="144"/>
    <cellStyle name="Normal 3 4" xfId="156"/>
    <cellStyle name="Normal 4" xfId="53"/>
    <cellStyle name="Normal 5" xfId="101"/>
    <cellStyle name="Normal 6" xfId="104"/>
    <cellStyle name="Normal 7" xfId="109"/>
    <cellStyle name="Normal 8" xfId="113"/>
    <cellStyle name="Normal 8 2" xfId="118"/>
    <cellStyle name="Normal 9" xfId="115"/>
    <cellStyle name="Normal_FGPAGO95" xfId="37"/>
    <cellStyle name="Notas" xfId="38" builtinId="10" customBuiltin="1"/>
    <cellStyle name="Notas 2" xfId="92"/>
    <cellStyle name="Notas 3" xfId="125"/>
    <cellStyle name="PESOS" xfId="39"/>
    <cellStyle name="Porcentaje" xfId="40" builtinId="5"/>
    <cellStyle name="Porcentaje 2" xfId="107"/>
    <cellStyle name="Porcentaje 2 2" xfId="132"/>
    <cellStyle name="Porcentaje 2 3" xfId="142"/>
    <cellStyle name="Porcentaje 2 4" xfId="154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Salida 3" xfId="126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Total 3" xfId="127"/>
    <cellStyle name="UDI´s" xfId="50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Invisible" pivot="0" table="0" count="0"/>
  </tableStyles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MINI~1\CONFIG~1\Temp\C.Lotus.Notes.Data\CUADERNOS\2002\SEPTIEMBRE\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82924\AppData\Local\Microsoft\Windows\Temporary%20Internet%20Files\Content.Outlook\HC2V6S0S\Base%20de%20formatos%202019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82924\AppData\Local\Microsoft\Windows\Temporary%20Internet%20Files\Content.Outlook\HC2V6S0S\PREDIAL2018INFORMACIONCOMPLETARORDEN%20NL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jose_pena\AppData\Local\Microsoft\Windows\Temporary%20Internet%20Files\Content.Outlook\2WDT6RRY\alumnos%20promedio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H - 1-2-3"/>
      <sheetName val="IMPORTE"/>
      <sheetName val="DESCUENTOS"/>
      <sheetName val="NETO"/>
      <sheetName val="EXPEDIENTES"/>
      <sheetName val="fact 2018"/>
      <sheetName val="AÑO ANT"/>
      <sheetName val="COMP NOMINAL"/>
      <sheetName val="COMP %"/>
      <sheetName val="seleccion"/>
      <sheetName val="FACTURACIÓN"/>
    </sheetNames>
    <sheetDataSet>
      <sheetData sheetId="0" refreshError="1"/>
      <sheetData sheetId="1">
        <row r="3">
          <cell r="A3" t="str">
            <v>ABASOLO</v>
          </cell>
        </row>
        <row r="4">
          <cell r="A4" t="str">
            <v>AGUALEGUAS</v>
          </cell>
        </row>
        <row r="5">
          <cell r="A5" t="str">
            <v>ALDAMAS, LOS</v>
          </cell>
        </row>
        <row r="6">
          <cell r="A6" t="str">
            <v>ALLENDE</v>
          </cell>
        </row>
        <row r="7">
          <cell r="A7" t="str">
            <v>ANAHUAC</v>
          </cell>
        </row>
        <row r="8">
          <cell r="A8" t="str">
            <v>APODACA</v>
          </cell>
        </row>
        <row r="9">
          <cell r="A9" t="str">
            <v>ARAMBERRI</v>
          </cell>
        </row>
        <row r="10">
          <cell r="A10" t="str">
            <v>BUSTAMANTE</v>
          </cell>
        </row>
        <row r="11">
          <cell r="A11" t="str">
            <v>CADEREYTA JIMENEZ</v>
          </cell>
        </row>
        <row r="12">
          <cell r="A12" t="str">
            <v>CARMEN</v>
          </cell>
        </row>
        <row r="13">
          <cell r="A13" t="str">
            <v xml:space="preserve">CERRALVO </v>
          </cell>
        </row>
        <row r="14">
          <cell r="A14" t="str">
            <v>CHINA</v>
          </cell>
        </row>
        <row r="15">
          <cell r="A15" t="str">
            <v>CIENEGA DE FLORES</v>
          </cell>
        </row>
        <row r="16">
          <cell r="A16" t="str">
            <v>DOCTOR ARROYO</v>
          </cell>
        </row>
        <row r="17">
          <cell r="A17" t="str">
            <v>DOCTOR COSS</v>
          </cell>
        </row>
        <row r="18">
          <cell r="A18" t="str">
            <v>DOCTOR GONZALEZ</v>
          </cell>
        </row>
        <row r="19">
          <cell r="A19" t="str">
            <v>GALEANA</v>
          </cell>
        </row>
        <row r="20">
          <cell r="A20" t="str">
            <v>GARCIA</v>
          </cell>
        </row>
        <row r="21">
          <cell r="A21" t="str">
            <v>GENERAL BRAVO</v>
          </cell>
        </row>
        <row r="22">
          <cell r="A22" t="str">
            <v>GENERAL ESCOBEDO</v>
          </cell>
        </row>
        <row r="23">
          <cell r="A23" t="str">
            <v>GENERAL TERAN</v>
          </cell>
        </row>
        <row r="24">
          <cell r="A24" t="str">
            <v>GENERAL TREVIÑO</v>
          </cell>
        </row>
        <row r="25">
          <cell r="A25" t="str">
            <v>GENERAL ZARAGOZA</v>
          </cell>
        </row>
        <row r="26">
          <cell r="A26" t="str">
            <v>GENERAL ZUAZUA</v>
          </cell>
        </row>
        <row r="27">
          <cell r="A27" t="str">
            <v>GUADALUPE</v>
          </cell>
        </row>
        <row r="28">
          <cell r="A28" t="str">
            <v>HERRERAS</v>
          </cell>
        </row>
        <row r="29">
          <cell r="A29" t="str">
            <v>HIDALGO</v>
          </cell>
        </row>
        <row r="30">
          <cell r="A30" t="str">
            <v>HIGUERAS</v>
          </cell>
        </row>
        <row r="31">
          <cell r="A31" t="str">
            <v>HUALAHUISES</v>
          </cell>
        </row>
        <row r="32">
          <cell r="A32" t="str">
            <v>ITURBIDE</v>
          </cell>
        </row>
        <row r="33">
          <cell r="A33" t="str">
            <v>JUAREZ</v>
          </cell>
        </row>
        <row r="34">
          <cell r="A34" t="str">
            <v>LAMPAZOS DE NARANJO</v>
          </cell>
        </row>
        <row r="35">
          <cell r="A35" t="str">
            <v>LINARES</v>
          </cell>
        </row>
        <row r="36">
          <cell r="A36" t="str">
            <v>MARIN</v>
          </cell>
        </row>
        <row r="37">
          <cell r="A37" t="str">
            <v>MELCHOR OCAMPO</v>
          </cell>
        </row>
        <row r="38">
          <cell r="A38" t="str">
            <v>MIER Y NORIEGA</v>
          </cell>
        </row>
        <row r="39">
          <cell r="A39" t="str">
            <v>MINA</v>
          </cell>
        </row>
        <row r="40">
          <cell r="A40" t="str">
            <v>MONTEMORELOS</v>
          </cell>
        </row>
        <row r="41">
          <cell r="A41" t="str">
            <v>MONTERREY</v>
          </cell>
        </row>
        <row r="42">
          <cell r="A42" t="str">
            <v>PARAS</v>
          </cell>
        </row>
        <row r="43">
          <cell r="A43" t="str">
            <v>PESQUERIA</v>
          </cell>
        </row>
        <row r="44">
          <cell r="A44" t="str">
            <v>RAMONES</v>
          </cell>
        </row>
        <row r="45">
          <cell r="A45" t="str">
            <v>RAYONES</v>
          </cell>
        </row>
        <row r="46">
          <cell r="A46" t="str">
            <v>SABINAS HIDALGO</v>
          </cell>
        </row>
        <row r="47">
          <cell r="A47" t="str">
            <v>SALINAS VICTORIA</v>
          </cell>
        </row>
        <row r="48">
          <cell r="A48" t="str">
            <v>SAN NICOLAS DE LOS GARZA</v>
          </cell>
        </row>
        <row r="49">
          <cell r="A49" t="str">
            <v>SAN PEDRO GARZA GARCIA</v>
          </cell>
        </row>
        <row r="50">
          <cell r="A50" t="str">
            <v>SANTA CATARINA</v>
          </cell>
        </row>
        <row r="51">
          <cell r="A51" t="str">
            <v>SANTIAGO</v>
          </cell>
        </row>
        <row r="52">
          <cell r="A52" t="str">
            <v>VALLECILLO</v>
          </cell>
        </row>
        <row r="53">
          <cell r="A53" t="str">
            <v>VILLALDAMA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ULA"/>
      <sheetName val="MAESTROS"/>
      <sheetName val="ESCUELAS"/>
      <sheetName val="GRUPOS"/>
      <sheetName val="Hoja1"/>
      <sheetName val="Num Alum"/>
      <sheetName val="Num Esc"/>
      <sheetName val="Alum Prom"/>
      <sheetName val="Resumen"/>
    </sheetNames>
    <sheetDataSet>
      <sheetData sheetId="0"/>
      <sheetData sheetId="1"/>
      <sheetData sheetId="2"/>
      <sheetData sheetId="3"/>
      <sheetData sheetId="4">
        <row r="1">
          <cell r="C1">
            <v>7</v>
          </cell>
          <cell r="G1">
            <v>10</v>
          </cell>
        </row>
      </sheetData>
      <sheetData sheetId="5">
        <row r="15">
          <cell r="AD15">
            <v>0</v>
          </cell>
        </row>
      </sheetData>
      <sheetData sheetId="6">
        <row r="15">
          <cell r="AD15">
            <v>0</v>
          </cell>
        </row>
      </sheetData>
      <sheetData sheetId="7">
        <row r="6">
          <cell r="AD6">
            <v>73.411353421008826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zoomScaleNormal="100" zoomScaleSheetLayoutView="100" workbookViewId="0">
      <selection sqref="A1:F16"/>
    </sheetView>
  </sheetViews>
  <sheetFormatPr baseColWidth="10" defaultColWidth="11.42578125" defaultRowHeight="12.75"/>
  <cols>
    <col min="1" max="1" width="59" style="93" customWidth="1"/>
    <col min="2" max="5" width="17.28515625" style="93" customWidth="1"/>
    <col min="6" max="6" width="18.28515625" style="93" customWidth="1"/>
    <col min="7" max="7" width="17.140625" style="93" customWidth="1"/>
    <col min="8" max="8" width="11.7109375" style="93" bestFit="1" customWidth="1"/>
    <col min="9" max="9" width="11.42578125" style="93"/>
    <col min="10" max="10" width="17.5703125" style="93" bestFit="1" customWidth="1"/>
    <col min="11" max="11" width="11.42578125" style="93"/>
    <col min="12" max="12" width="14.85546875" style="93" bestFit="1" customWidth="1"/>
    <col min="13" max="16384" width="11.42578125" style="93"/>
  </cols>
  <sheetData>
    <row r="1" spans="1:12" ht="18.75" customHeight="1">
      <c r="A1" s="260" t="s">
        <v>207</v>
      </c>
      <c r="B1" s="260"/>
      <c r="C1" s="260"/>
      <c r="D1" s="260"/>
      <c r="E1" s="260"/>
      <c r="F1" s="260"/>
    </row>
    <row r="3" spans="1:12" ht="25.5">
      <c r="A3" s="155" t="s">
        <v>84</v>
      </c>
      <c r="B3" s="155" t="s">
        <v>36</v>
      </c>
      <c r="C3" s="155" t="s">
        <v>85</v>
      </c>
      <c r="D3" s="155" t="s">
        <v>95</v>
      </c>
      <c r="E3" s="155" t="s">
        <v>181</v>
      </c>
      <c r="F3" s="155" t="s">
        <v>182</v>
      </c>
    </row>
    <row r="4" spans="1:12" ht="25.5" customHeight="1">
      <c r="A4" s="152" t="s">
        <v>86</v>
      </c>
      <c r="B4" s="176">
        <v>45436624063</v>
      </c>
      <c r="C4" s="177">
        <v>20</v>
      </c>
      <c r="D4" s="212">
        <f>+C4/100*B4</f>
        <v>9087324812.6000004</v>
      </c>
      <c r="E4" s="177">
        <v>6575127028.2700005</v>
      </c>
      <c r="F4" s="177">
        <f>+D4-E4</f>
        <v>2512197784.3299999</v>
      </c>
      <c r="H4" s="227"/>
    </row>
    <row r="5" spans="1:12" ht="25.5" customHeight="1">
      <c r="A5" s="152" t="s">
        <v>103</v>
      </c>
      <c r="B5" s="176">
        <v>1358543086</v>
      </c>
      <c r="C5" s="177">
        <v>100</v>
      </c>
      <c r="D5" s="212">
        <f t="shared" ref="D5:D9" si="0">+C5/100*B5</f>
        <v>1358543086</v>
      </c>
      <c r="E5" s="177">
        <v>897976680.16000021</v>
      </c>
      <c r="F5" s="177">
        <f t="shared" ref="F5:F9" si="1">+D5-E5</f>
        <v>460566405.83999979</v>
      </c>
      <c r="J5" s="162"/>
    </row>
    <row r="6" spans="1:12" ht="25.5" customHeight="1">
      <c r="A6" s="152" t="s">
        <v>87</v>
      </c>
      <c r="B6" s="176">
        <v>1435963424</v>
      </c>
      <c r="C6" s="177">
        <v>20</v>
      </c>
      <c r="D6" s="212">
        <f t="shared" si="0"/>
        <v>287192684.80000001</v>
      </c>
      <c r="E6" s="177">
        <v>220792307.32999998</v>
      </c>
      <c r="F6" s="177">
        <f t="shared" si="1"/>
        <v>66400377.470000029</v>
      </c>
      <c r="J6" s="162"/>
      <c r="L6" s="226"/>
    </row>
    <row r="7" spans="1:12" ht="25.5" customHeight="1">
      <c r="A7" s="152" t="s">
        <v>94</v>
      </c>
      <c r="B7" s="176">
        <v>2566640489</v>
      </c>
      <c r="C7" s="177">
        <v>20</v>
      </c>
      <c r="D7" s="212">
        <f t="shared" si="0"/>
        <v>513328097.80000001</v>
      </c>
      <c r="E7" s="177">
        <v>372200568.05000001</v>
      </c>
      <c r="F7" s="177">
        <f t="shared" si="1"/>
        <v>141127529.75</v>
      </c>
      <c r="J7" s="162"/>
    </row>
    <row r="8" spans="1:12" ht="25.5" customHeight="1">
      <c r="A8" s="152" t="s">
        <v>99</v>
      </c>
      <c r="B8" s="176">
        <v>1523409681</v>
      </c>
      <c r="C8" s="177">
        <v>20</v>
      </c>
      <c r="D8" s="212">
        <f t="shared" si="0"/>
        <v>304681936.19999999</v>
      </c>
      <c r="E8" s="177">
        <v>183055003.22</v>
      </c>
      <c r="F8" s="177">
        <f t="shared" si="1"/>
        <v>121626932.97999999</v>
      </c>
    </row>
    <row r="9" spans="1:12" ht="25.5" customHeight="1">
      <c r="A9" s="152" t="s">
        <v>98</v>
      </c>
      <c r="B9" s="176">
        <v>235619352</v>
      </c>
      <c r="C9" s="177">
        <v>20</v>
      </c>
      <c r="D9" s="212">
        <f t="shared" si="0"/>
        <v>47123870.400000006</v>
      </c>
      <c r="E9" s="177">
        <v>39228897.590000004</v>
      </c>
      <c r="F9" s="177">
        <f t="shared" si="1"/>
        <v>7894972.8100000024</v>
      </c>
    </row>
    <row r="10" spans="1:12" ht="25.5" customHeight="1">
      <c r="A10" s="208" t="s">
        <v>189</v>
      </c>
      <c r="B10" s="209">
        <f t="shared" ref="B10" si="2">SUM(B4:B9)</f>
        <v>52556800095</v>
      </c>
      <c r="C10" s="210"/>
      <c r="D10" s="211">
        <f>SUM(D4:D9)</f>
        <v>11598194487.799999</v>
      </c>
      <c r="E10" s="211">
        <f>SUM(E4:E9)</f>
        <v>8288380484.6200008</v>
      </c>
      <c r="F10" s="210">
        <f>SUM(F4:F9)</f>
        <v>3309814003.1799994</v>
      </c>
    </row>
    <row r="11" spans="1:12" ht="25.5" customHeight="1">
      <c r="A11" s="152" t="s">
        <v>102</v>
      </c>
      <c r="B11" s="176">
        <v>501189553</v>
      </c>
      <c r="C11" s="177">
        <v>100</v>
      </c>
      <c r="D11" s="177">
        <f>+C11/100*B11</f>
        <v>501189553</v>
      </c>
      <c r="E11" s="177"/>
      <c r="F11" s="177"/>
    </row>
    <row r="12" spans="1:12" ht="25.5" customHeight="1">
      <c r="A12" s="152" t="s">
        <v>93</v>
      </c>
      <c r="B12" s="176">
        <v>1640455281</v>
      </c>
      <c r="C12" s="177">
        <v>20</v>
      </c>
      <c r="D12" s="177">
        <f>+C12/100*B12</f>
        <v>328091056.20000005</v>
      </c>
      <c r="E12" s="177"/>
      <c r="F12" s="177"/>
    </row>
    <row r="13" spans="1:12" ht="25.5" customHeight="1">
      <c r="A13" s="152" t="s">
        <v>190</v>
      </c>
      <c r="B13" s="176">
        <v>728193544.00795794</v>
      </c>
      <c r="C13" s="177">
        <v>20</v>
      </c>
      <c r="D13" s="177">
        <f t="shared" ref="D13" si="3">+C13/100*B13</f>
        <v>145638708.8015916</v>
      </c>
      <c r="E13" s="177"/>
      <c r="F13" s="177"/>
    </row>
    <row r="14" spans="1:12" ht="25.5" customHeight="1">
      <c r="A14" s="208" t="s">
        <v>189</v>
      </c>
      <c r="B14" s="209">
        <f t="shared" ref="B14" si="4">SUM(B11:B13)</f>
        <v>2869838378.0079579</v>
      </c>
      <c r="C14" s="210"/>
      <c r="D14" s="211">
        <f>SUM(D11:D13)</f>
        <v>974919318.00159168</v>
      </c>
      <c r="E14" s="211"/>
      <c r="F14" s="210"/>
    </row>
    <row r="15" spans="1:12" ht="21.75" customHeight="1">
      <c r="A15" s="156" t="s">
        <v>36</v>
      </c>
      <c r="B15" s="179">
        <f t="shared" ref="B15" si="5">SUM(B14,B10)</f>
        <v>55426638473.007957</v>
      </c>
      <c r="C15" s="178"/>
      <c r="D15" s="178">
        <f>SUM(D14,D10)</f>
        <v>12573113805.80159</v>
      </c>
      <c r="E15" s="178">
        <f>SUM(E14,E10)</f>
        <v>8288380484.6200008</v>
      </c>
      <c r="F15" s="178">
        <f>SUM(F14,F10)</f>
        <v>3309814003.1799994</v>
      </c>
    </row>
    <row r="16" spans="1:12">
      <c r="A16" s="94"/>
      <c r="B16" s="94"/>
      <c r="C16" s="95"/>
      <c r="D16" s="96"/>
      <c r="E16" s="95"/>
    </row>
    <row r="17" spans="1:3">
      <c r="B17" s="227"/>
    </row>
    <row r="19" spans="1:3">
      <c r="B19" s="227"/>
    </row>
    <row r="20" spans="1:3">
      <c r="B20" s="257"/>
      <c r="C20" s="226"/>
    </row>
    <row r="21" spans="1:3">
      <c r="A21" s="163"/>
      <c r="B21" s="163"/>
      <c r="C21" s="226"/>
    </row>
    <row r="22" spans="1:3">
      <c r="A22" s="164"/>
      <c r="B22" s="164"/>
      <c r="C22" s="22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&amp;LANEXO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tabSelected="1" zoomScale="110" zoomScaleNormal="110" zoomScaleSheetLayoutView="100" workbookViewId="0">
      <selection activeCell="B60" sqref="B60"/>
    </sheetView>
  </sheetViews>
  <sheetFormatPr baseColWidth="10" defaultColWidth="11.42578125" defaultRowHeight="12.75"/>
  <cols>
    <col min="1" max="1" width="3" style="97" bestFit="1" customWidth="1"/>
    <col min="2" max="2" width="41.28515625" style="97" customWidth="1"/>
    <col min="3" max="3" width="15.140625" style="171" bestFit="1" customWidth="1"/>
    <col min="4" max="5" width="16.85546875" style="173" bestFit="1" customWidth="1"/>
    <col min="6" max="6" width="16.42578125" style="154" bestFit="1" customWidth="1"/>
    <col min="7" max="7" width="13.140625" style="154" bestFit="1" customWidth="1"/>
    <col min="8" max="8" width="15.42578125" style="154" bestFit="1" customWidth="1"/>
    <col min="9" max="9" width="13.140625" style="154" bestFit="1" customWidth="1"/>
    <col min="10" max="11" width="12.5703125" style="154" bestFit="1" customWidth="1"/>
    <col min="12" max="12" width="14.42578125" style="154" bestFit="1" customWidth="1"/>
    <col min="13" max="13" width="12.5703125" style="97" bestFit="1" customWidth="1"/>
    <col min="14" max="16384" width="11.42578125" style="97"/>
  </cols>
  <sheetData>
    <row r="1" spans="1:12">
      <c r="B1" s="261" t="s">
        <v>88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B2" s="261" t="s">
        <v>194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ht="12.75" customHeight="1">
      <c r="B3" s="261" t="s">
        <v>209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</row>
    <row r="4" spans="1:12" ht="13.5" thickBot="1"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12" ht="47.25" customHeight="1">
      <c r="B5" s="219" t="s">
        <v>154</v>
      </c>
      <c r="C5" s="213" t="s">
        <v>155</v>
      </c>
      <c r="D5" s="214" t="s">
        <v>156</v>
      </c>
      <c r="E5" s="214" t="s">
        <v>157</v>
      </c>
      <c r="F5" s="214" t="s">
        <v>158</v>
      </c>
      <c r="G5" s="214" t="s">
        <v>159</v>
      </c>
      <c r="H5" s="214" t="s">
        <v>160</v>
      </c>
      <c r="I5" s="214" t="s">
        <v>161</v>
      </c>
      <c r="J5" s="214" t="s">
        <v>195</v>
      </c>
      <c r="K5" s="214" t="s">
        <v>198</v>
      </c>
      <c r="L5" s="218" t="s">
        <v>152</v>
      </c>
    </row>
    <row r="6" spans="1:12">
      <c r="A6" s="246">
        <v>15</v>
      </c>
      <c r="B6" s="215" t="s">
        <v>1</v>
      </c>
      <c r="C6" s="166">
        <f>ROUND(+IF('PART 2024'!$F$4&lt;1,'PISO 2021'!$J6*'PART 2024'!$D$4,'PISO 2021'!C6+Copete!C6),2)</f>
        <v>10238312.199999999</v>
      </c>
      <c r="D6" s="166">
        <f>ROUND(+IF('PART 2024'!$F$5&lt;1,'PISO 2021'!$J6*'PART 2024'!$D$5,'PISO 2021'!D6+Copete!D6),2)</f>
        <v>1481573.83</v>
      </c>
      <c r="E6" s="175">
        <f>ROUND(+'PART 2024'!D$11*'Art.14 Frac.III'!R5,2)</f>
        <v>5572620.8799999999</v>
      </c>
      <c r="F6" s="166">
        <f>ROUND(+IF('PART 2024'!$F$6&lt;1,'PISO 2021'!$J6*'PART 2024'!$D$6,'PISO 2021'!E6+Copete!E6),2)</f>
        <v>331065.40999999997</v>
      </c>
      <c r="G6" s="166">
        <f>ROUND(+IF('PART 2024'!$F$7&lt;1,'PISO 2021'!$J6*'PART 2024'!$D$7,'PISO 2021'!F6+Copete!F6),2)</f>
        <v>578796.92000000004</v>
      </c>
      <c r="H6" s="166">
        <f>ROUND(+IF('PART 2024'!$F$8&lt;1,'PISO 2021'!$J6*'PART 2024'!$D$8,'PISO 2021'!G6+Copete!G6),2)</f>
        <v>321695.28999999998</v>
      </c>
      <c r="I6" s="166">
        <f>ROUND(+IF('PART 2024'!$F$9&lt;1,'PISO 2021'!$J6*'PART 2024'!$D$9,'PISO 2021'!H6+Copete!H6),2)</f>
        <v>56053.8</v>
      </c>
      <c r="J6" s="166">
        <f>+ROUND('COEF Art 14 F II'!M7,2)</f>
        <v>186853.91</v>
      </c>
      <c r="K6" s="166">
        <f>+'ISR BI'!E4</f>
        <v>11726.89</v>
      </c>
      <c r="L6" s="216">
        <f>SUM(C6:K6)</f>
        <v>18778699.130000003</v>
      </c>
    </row>
    <row r="7" spans="1:12">
      <c r="A7" s="246">
        <v>11</v>
      </c>
      <c r="B7" s="215" t="s">
        <v>2</v>
      </c>
      <c r="C7" s="166">
        <f>ROUND(+IF('PART 2024'!$F$4&lt;1,'PISO 2021'!$J7*'PART 2024'!$D$4,'PISO 2021'!C7+Copete!C7),2)</f>
        <v>19395897.640000001</v>
      </c>
      <c r="D7" s="166">
        <f>ROUND(+IF('PART 2024'!$F$5&lt;1,'PISO 2021'!$J7*'PART 2024'!$D$5,'PISO 2021'!D7+Copete!D7),2)</f>
        <v>2795088.27</v>
      </c>
      <c r="E7" s="175">
        <f>ROUND(+'PART 2024'!D$11*'Art.14 Frac.III'!R6,2)</f>
        <v>4774996.79</v>
      </c>
      <c r="F7" s="166">
        <f>ROUND(+IF('PART 2024'!$F$6&lt;1,'PISO 2021'!$J7*'PART 2024'!$D$6,'PISO 2021'!E7+Copete!E7),2)</f>
        <v>628968.43000000005</v>
      </c>
      <c r="G7" s="166">
        <f>ROUND(+IF('PART 2024'!$F$7&lt;1,'PISO 2021'!$J7*'PART 2024'!$D$7,'PISO 2021'!F7+Copete!F7),2)</f>
        <v>1096605.1200000001</v>
      </c>
      <c r="H7" s="166">
        <f>ROUND(+IF('PART 2024'!$F$8&lt;1,'PISO 2021'!$J7*'PART 2024'!$D$8,'PISO 2021'!G7+Copete!G7),2)</f>
        <v>604299.23</v>
      </c>
      <c r="I7" s="166">
        <f>ROUND(+IF('PART 2024'!$F$9&lt;1,'PISO 2021'!$J7*'PART 2024'!$D$9,'PISO 2021'!H7+Copete!H7),2)</f>
        <v>106895.32</v>
      </c>
      <c r="J7" s="166">
        <f>+ROUND('COEF Art 14 F II'!M8,2)</f>
        <v>240840.39</v>
      </c>
      <c r="K7" s="166">
        <f>+'ISR BI'!E5</f>
        <v>24039.29</v>
      </c>
      <c r="L7" s="216">
        <f t="shared" ref="L7:L57" si="0">SUM(C7:K7)</f>
        <v>29667630.48</v>
      </c>
    </row>
    <row r="8" spans="1:12">
      <c r="A8" s="246">
        <v>12</v>
      </c>
      <c r="B8" s="215" t="s">
        <v>145</v>
      </c>
      <c r="C8" s="166">
        <f>ROUND(+IF('PART 2024'!$F$4&lt;1,'PISO 2021'!$J8*'PART 2024'!$D$4,'PISO 2021'!C8+Copete!C8),2)</f>
        <v>21075438.620000001</v>
      </c>
      <c r="D8" s="166">
        <f>ROUND(+IF('PART 2024'!$F$5&lt;1,'PISO 2021'!$J8*'PART 2024'!$D$5,'PISO 2021'!D8+Copete!D8),2)</f>
        <v>3065442.01</v>
      </c>
      <c r="E8" s="175">
        <f>ROUND(+'PART 2024'!D$11*'Art.14 Frac.III'!R7,2)</f>
        <v>3806310.35</v>
      </c>
      <c r="F8" s="166">
        <f>ROUND(+IF('PART 2024'!$F$6&lt;1,'PISO 2021'!$J8*'PART 2024'!$D$6,'PISO 2021'!E8+Copete!E8),2)</f>
        <v>679102.89</v>
      </c>
      <c r="G8" s="166">
        <f>ROUND(+IF('PART 2024'!$F$7&lt;1,'PISO 2021'!$J8*'PART 2024'!$D$7,'PISO 2021'!F8+Copete!F8),2)</f>
        <v>1191302.3</v>
      </c>
      <c r="H8" s="166">
        <f>ROUND(+IF('PART 2024'!$F$8&lt;1,'PISO 2021'!$J8*'PART 2024'!$D$8,'PISO 2021'!G8+Copete!G8),2)</f>
        <v>669087.47</v>
      </c>
      <c r="I8" s="166">
        <f>ROUND(+IF('PART 2024'!$F$9&lt;1,'PISO 2021'!$J8*'PART 2024'!$D$9,'PISO 2021'!H8+Copete!H8),2)</f>
        <v>114441.58</v>
      </c>
      <c r="J8" s="166">
        <f>+ROUND('COEF Art 14 F II'!M9,2)</f>
        <v>216478.24</v>
      </c>
      <c r="K8" s="166">
        <f>+'ISR BI'!E6</f>
        <v>0</v>
      </c>
      <c r="L8" s="216">
        <f t="shared" si="0"/>
        <v>30817603.460000001</v>
      </c>
    </row>
    <row r="9" spans="1:12">
      <c r="A9" s="246">
        <v>13</v>
      </c>
      <c r="B9" s="215" t="s">
        <v>3</v>
      </c>
      <c r="C9" s="166">
        <f>ROUND(+IF('PART 2024'!$F$4&lt;1,'PISO 2021'!$J9*'PART 2024'!$D$4,'PISO 2021'!C9+Copete!C9),2)</f>
        <v>60457486.210000001</v>
      </c>
      <c r="D9" s="166">
        <f>ROUND(+IF('PART 2024'!$F$5&lt;1,'PISO 2021'!$J9*'PART 2024'!$D$5,'PISO 2021'!D9+Copete!D9),2)</f>
        <v>8881382.5800000001</v>
      </c>
      <c r="E9" s="175">
        <f>ROUND(+'PART 2024'!D$11*'Art.14 Frac.III'!R8,2)</f>
        <v>7769185.4100000001</v>
      </c>
      <c r="F9" s="166">
        <f>ROUND(+IF('PART 2024'!$F$6&lt;1,'PISO 2021'!$J9*'PART 2024'!$D$6,'PISO 2021'!E9+Copete!E9),2)</f>
        <v>1934669.42</v>
      </c>
      <c r="G9" s="166">
        <f>ROUND(+IF('PART 2024'!$F$7&lt;1,'PISO 2021'!$J9*'PART 2024'!$D$7,'PISO 2021'!F9+Copete!F9),2)</f>
        <v>3416588.99</v>
      </c>
      <c r="H9" s="166">
        <f>ROUND(+IF('PART 2024'!$F$8&lt;1,'PISO 2021'!$J9*'PART 2024'!$D$8,'PISO 2021'!G9+Copete!G9),2)</f>
        <v>1957984.27</v>
      </c>
      <c r="I9" s="166">
        <f>ROUND(+IF('PART 2024'!$F$9&lt;1,'PISO 2021'!$J9*'PART 2024'!$D$9,'PISO 2021'!H9+Copete!H9),2)</f>
        <v>322988.87</v>
      </c>
      <c r="J9" s="166">
        <f>+ROUND('COEF Art 14 F II'!M10,2)</f>
        <v>2007558.95</v>
      </c>
      <c r="K9" s="166">
        <f>+'ISR BI'!E7</f>
        <v>1382366.18</v>
      </c>
      <c r="L9" s="216">
        <f t="shared" si="0"/>
        <v>88130210.88000001</v>
      </c>
    </row>
    <row r="10" spans="1:12">
      <c r="A10" s="246">
        <v>14</v>
      </c>
      <c r="B10" s="215" t="s">
        <v>146</v>
      </c>
      <c r="C10" s="166">
        <f>ROUND(+IF('PART 2024'!$F$4&lt;1,'PISO 2021'!$J10*'PART 2024'!$D$4,'PISO 2021'!C10+Copete!C10),2)</f>
        <v>72003620.069999993</v>
      </c>
      <c r="D10" s="166">
        <f>ROUND(+IF('PART 2024'!$F$5&lt;1,'PISO 2021'!$J10*'PART 2024'!$D$5,'PISO 2021'!D10+Copete!D10),2)</f>
        <v>10435763.93</v>
      </c>
      <c r="E10" s="175">
        <f>ROUND(+'PART 2024'!D$11*'Art.14 Frac.III'!R9,2)</f>
        <v>9879723.1400000006</v>
      </c>
      <c r="F10" s="166">
        <f>ROUND(+IF('PART 2024'!$F$6&lt;1,'PISO 2021'!$J10*'PART 2024'!$D$6,'PISO 2021'!E10+Copete!E10),2)</f>
        <v>2325826.7599999998</v>
      </c>
      <c r="G10" s="166">
        <f>ROUND(+IF('PART 2024'!$F$7&lt;1,'PISO 2021'!$J10*'PART 2024'!$D$7,'PISO 2021'!F10+Copete!F10),2)</f>
        <v>4070392.18</v>
      </c>
      <c r="H10" s="166">
        <f>ROUND(+IF('PART 2024'!$F$8&lt;1,'PISO 2021'!$J10*'PART 2024'!$D$8,'PISO 2021'!G10+Copete!G10),2)</f>
        <v>2269537.4</v>
      </c>
      <c r="I10" s="166">
        <f>ROUND(+IF('PART 2024'!$F$9&lt;1,'PISO 2021'!$J10*'PART 2024'!$D$9,'PISO 2021'!H10+Copete!H10),2)</f>
        <v>393234.38</v>
      </c>
      <c r="J10" s="166">
        <f>+ROUND('COEF Art 14 F II'!M11,2)</f>
        <v>1266646.42</v>
      </c>
      <c r="K10" s="166">
        <f>+'ISR BI'!E8</f>
        <v>77716.25</v>
      </c>
      <c r="L10" s="216">
        <f t="shared" si="0"/>
        <v>102722460.53000002</v>
      </c>
    </row>
    <row r="11" spans="1:12">
      <c r="A11" s="246">
        <v>17</v>
      </c>
      <c r="B11" s="215" t="s">
        <v>4</v>
      </c>
      <c r="C11" s="166">
        <f>ROUND(+IF('PART 2024'!$F$4&lt;1,'PISO 2021'!$J11*'PART 2024'!$D$4,'PISO 2021'!C11+Copete!C11),2)</f>
        <v>606204870.86000001</v>
      </c>
      <c r="D11" s="166">
        <f>ROUND(+IF('PART 2024'!$F$5&lt;1,'PISO 2021'!$J11*'PART 2024'!$D$5,'PISO 2021'!D11+Copete!D11),2)</f>
        <v>92152620.590000004</v>
      </c>
      <c r="E11" s="175">
        <f>ROUND(+'PART 2024'!D$11*'Art.14 Frac.III'!R10,2)</f>
        <v>22572354.010000002</v>
      </c>
      <c r="F11" s="166">
        <f>ROUND(+IF('PART 2024'!$F$6&lt;1,'PISO 2021'!$J11*'PART 2024'!$D$6,'PISO 2021'!E11+Copete!E11),2)</f>
        <v>18925026.27</v>
      </c>
      <c r="G11" s="166">
        <f>ROUND(+IF('PART 2024'!$F$7&lt;1,'PISO 2021'!$J11*'PART 2024'!$D$7,'PISO 2021'!F11+Copete!F11),2)</f>
        <v>34229475.200000003</v>
      </c>
      <c r="H11" s="166">
        <f>ROUND(+IF('PART 2024'!$F$8&lt;1,'PISO 2021'!$J11*'PART 2024'!$D$8,'PISO 2021'!G11+Copete!G11),2)</f>
        <v>20996309.199999999</v>
      </c>
      <c r="I11" s="166">
        <f>ROUND(+IF('PART 2024'!$F$9&lt;1,'PISO 2021'!$J11*'PART 2024'!$D$9,'PISO 2021'!H11+Copete!H11),2)</f>
        <v>3051444.34</v>
      </c>
      <c r="J11" s="166">
        <f>+ROUND('COEF Art 14 F II'!M12,2)</f>
        <v>34518794.689999998</v>
      </c>
      <c r="K11" s="166">
        <f>+'ISR BI'!E9</f>
        <v>20187621.109999999</v>
      </c>
      <c r="L11" s="216">
        <f t="shared" si="0"/>
        <v>852838516.2700001</v>
      </c>
    </row>
    <row r="12" spans="1:12">
      <c r="A12" s="246">
        <v>16</v>
      </c>
      <c r="B12" s="215" t="s">
        <v>5</v>
      </c>
      <c r="C12" s="166">
        <f>ROUND(+IF('PART 2024'!$F$4&lt;1,'PISO 2021'!$J12*'PART 2024'!$D$4,'PISO 2021'!C12+Copete!C12),2)</f>
        <v>79161676.540000007</v>
      </c>
      <c r="D12" s="166">
        <f>ROUND(+IF('PART 2024'!$F$5&lt;1,'PISO 2021'!$J12*'PART 2024'!$D$5,'PISO 2021'!D12+Copete!D12),2)</f>
        <v>11356826.949999999</v>
      </c>
      <c r="E12" s="175">
        <f>ROUND(+'PART 2024'!D$11*'Art.14 Frac.III'!R11,2)</f>
        <v>6970840.5499999998</v>
      </c>
      <c r="F12" s="166">
        <f>ROUND(+IF('PART 2024'!$F$6&lt;1,'PISO 2021'!$J12*'PART 2024'!$D$6,'PISO 2021'!E12+Copete!E12),2)</f>
        <v>2574835.4300000002</v>
      </c>
      <c r="G12" s="166">
        <f>ROUND(+IF('PART 2024'!$F$7&lt;1,'PISO 2021'!$J12*'PART 2024'!$D$7,'PISO 2021'!F12+Copete!F12),2)</f>
        <v>4476111.18</v>
      </c>
      <c r="H12" s="166">
        <f>ROUND(+IF('PART 2024'!$F$8&lt;1,'PISO 2021'!$J12*'PART 2024'!$D$8,'PISO 2021'!G12+Copete!G12),2)</f>
        <v>2443950.92</v>
      </c>
      <c r="I12" s="166">
        <f>ROUND(+IF('PART 2024'!$F$9&lt;1,'PISO 2021'!$J12*'PART 2024'!$D$9,'PISO 2021'!H12+Copete!H12),2)</f>
        <v>439354.45</v>
      </c>
      <c r="J12" s="166">
        <f>+ROUND('COEF Art 14 F II'!M13,2)</f>
        <v>1120373.1100000001</v>
      </c>
      <c r="K12" s="166">
        <f>+'ISR BI'!E10</f>
        <v>2867.54</v>
      </c>
      <c r="L12" s="216">
        <f t="shared" si="0"/>
        <v>108546836.67000002</v>
      </c>
    </row>
    <row r="13" spans="1:12">
      <c r="A13" s="246">
        <v>18</v>
      </c>
      <c r="B13" s="215" t="s">
        <v>6</v>
      </c>
      <c r="C13" s="166">
        <f>ROUND(+IF('PART 2024'!$F$4&lt;1,'PISO 2021'!$J13*'PART 2024'!$D$4,'PISO 2021'!C13+Copete!C13),2)</f>
        <v>14954980.58</v>
      </c>
      <c r="D13" s="166">
        <f>ROUND(+IF('PART 2024'!$F$5&lt;1,'PISO 2021'!$J13*'PART 2024'!$D$5,'PISO 2021'!D13+Copete!D13),2)</f>
        <v>2239899.3199999998</v>
      </c>
      <c r="E13" s="175">
        <f>ROUND(+'PART 2024'!D$11*'Art.14 Frac.III'!R12,2)</f>
        <v>36635454.640000001</v>
      </c>
      <c r="F13" s="166">
        <f>ROUND(+IF('PART 2024'!$F$6&lt;1,'PISO 2021'!$J13*'PART 2024'!$D$6,'PISO 2021'!E13+Copete!E13),2)</f>
        <v>471997.69</v>
      </c>
      <c r="G13" s="166">
        <f>ROUND(+IF('PART 2024'!$F$7&lt;1,'PISO 2021'!$J13*'PART 2024'!$D$7,'PISO 2021'!F13+Copete!F13),2)</f>
        <v>844744.17</v>
      </c>
      <c r="H13" s="166">
        <f>ROUND(+IF('PART 2024'!$F$8&lt;1,'PISO 2021'!$J13*'PART 2024'!$D$8,'PISO 2021'!G13+Copete!G13),2)</f>
        <v>503239.77</v>
      </c>
      <c r="I13" s="166">
        <f>ROUND(+IF('PART 2024'!$F$9&lt;1,'PISO 2021'!$J13*'PART 2024'!$D$9,'PISO 2021'!H13+Copete!H13),2)</f>
        <v>77301.03</v>
      </c>
      <c r="J13" s="166">
        <f>+ROUND('COEF Art 14 F II'!M14,2)</f>
        <v>328075.13</v>
      </c>
      <c r="K13" s="166">
        <f>+'ISR BI'!E11</f>
        <v>43786.3</v>
      </c>
      <c r="L13" s="216">
        <f t="shared" si="0"/>
        <v>56099478.630000003</v>
      </c>
    </row>
    <row r="14" spans="1:12">
      <c r="A14" s="246">
        <v>19</v>
      </c>
      <c r="B14" s="215" t="s">
        <v>130</v>
      </c>
      <c r="C14" s="166">
        <f>ROUND(+IF('PART 2024'!$F$4&lt;1,'PISO 2021'!$J14*'PART 2024'!$D$4,'PISO 2021'!C14+Copete!C14),2)</f>
        <v>137979511.93000001</v>
      </c>
      <c r="D14" s="166">
        <f>ROUND(+IF('PART 2024'!$F$5&lt;1,'PISO 2021'!$J14*'PART 2024'!$D$5,'PISO 2021'!D14+Copete!D14),2)</f>
        <v>20307798.859999999</v>
      </c>
      <c r="E14" s="175">
        <f>ROUND(+'PART 2024'!D$11*'Art.14 Frac.III'!R13,2)</f>
        <v>5730636.3700000001</v>
      </c>
      <c r="F14" s="166">
        <f>ROUND(+IF('PART 2024'!$F$6&lt;1,'PISO 2021'!$J14*'PART 2024'!$D$6,'PISO 2021'!E14+Copete!E14),2)</f>
        <v>4409572.0999999996</v>
      </c>
      <c r="G14" s="166">
        <f>ROUND(+IF('PART 2024'!$F$7&lt;1,'PISO 2021'!$J14*'PART 2024'!$D$7,'PISO 2021'!F14+Copete!F14),2)</f>
        <v>7797181.9500000002</v>
      </c>
      <c r="H14" s="166">
        <f>ROUND(+IF('PART 2024'!$F$8&lt;1,'PISO 2021'!$J14*'PART 2024'!$D$8,'PISO 2021'!G14+Copete!G14),2)</f>
        <v>4485431.78</v>
      </c>
      <c r="I14" s="166">
        <f>ROUND(+IF('PART 2024'!$F$9&lt;1,'PISO 2021'!$J14*'PART 2024'!$D$9,'PISO 2021'!H14+Copete!H14),2)</f>
        <v>734836.69</v>
      </c>
      <c r="J14" s="166">
        <f>+ROUND('COEF Art 14 F II'!M15,2)</f>
        <v>5804726.5899999999</v>
      </c>
      <c r="K14" s="166">
        <f>+'ISR BI'!E12</f>
        <v>1468303.42</v>
      </c>
      <c r="L14" s="216">
        <f t="shared" si="0"/>
        <v>188717999.69</v>
      </c>
    </row>
    <row r="15" spans="1:12">
      <c r="A15" s="246">
        <v>20</v>
      </c>
      <c r="B15" s="215" t="s">
        <v>131</v>
      </c>
      <c r="C15" s="166">
        <f>ROUND(+IF('PART 2024'!$F$4&lt;1,'PISO 2021'!$J15*'PART 2024'!$D$4,'PISO 2021'!C15+Copete!C15),2)</f>
        <v>43268766.640000001</v>
      </c>
      <c r="D15" s="166">
        <f>ROUND(+IF('PART 2024'!$F$5&lt;1,'PISO 2021'!$J15*'PART 2024'!$D$5,'PISO 2021'!D15+Copete!D15),2)</f>
        <v>7068890.5899999999</v>
      </c>
      <c r="E15" s="175">
        <f>ROUND(+'PART 2024'!D$11*'Art.14 Frac.III'!R14,2)</f>
        <v>17598840.670000002</v>
      </c>
      <c r="F15" s="166">
        <f>ROUND(+IF('PART 2024'!$F$6&lt;1,'PISO 2021'!$J15*'PART 2024'!$D$6,'PISO 2021'!E15+Copete!E15),2)</f>
        <v>1275682.06</v>
      </c>
      <c r="G15" s="166">
        <f>ROUND(+IF('PART 2024'!$F$7&lt;1,'PISO 2021'!$J15*'PART 2024'!$D$7,'PISO 2021'!F15+Copete!F15),2)</f>
        <v>2438656.1800000002</v>
      </c>
      <c r="H15" s="166">
        <f>ROUND(+IF('PART 2024'!$F$8&lt;1,'PISO 2021'!$J15*'PART 2024'!$D$8,'PISO 2021'!G15+Copete!G15),2)</f>
        <v>1714836.21</v>
      </c>
      <c r="I15" s="166">
        <f>ROUND(+IF('PART 2024'!$F$9&lt;1,'PISO 2021'!$J15*'PART 2024'!$D$9,'PISO 2021'!H15+Copete!H15),2)</f>
        <v>188130.69</v>
      </c>
      <c r="J15" s="166">
        <f>+ROUND('COEF Art 14 F II'!M16,2)</f>
        <v>4046618.22</v>
      </c>
      <c r="K15" s="166">
        <f>+'ISR BI'!E13</f>
        <v>693691.03</v>
      </c>
      <c r="L15" s="216">
        <f t="shared" si="0"/>
        <v>78294112.290000007</v>
      </c>
    </row>
    <row r="16" spans="1:12">
      <c r="A16" s="246">
        <v>23</v>
      </c>
      <c r="B16" s="215" t="s">
        <v>132</v>
      </c>
      <c r="C16" s="166">
        <f>ROUND(+IF('PART 2024'!$F$4&lt;1,'PISO 2021'!$J16*'PART 2024'!$D$4,'PISO 2021'!C16+Copete!C16),2)</f>
        <v>34630207.359999999</v>
      </c>
      <c r="D16" s="166">
        <f>ROUND(+IF('PART 2024'!$F$5&lt;1,'PISO 2021'!$J16*'PART 2024'!$D$5,'PISO 2021'!D16+Copete!D16),2)</f>
        <v>5144711.0999999996</v>
      </c>
      <c r="E16" s="175">
        <f>ROUND(+'PART 2024'!D$11*'Art.14 Frac.III'!R15,2)</f>
        <v>7891061.6500000004</v>
      </c>
      <c r="F16" s="166">
        <f>ROUND(+IF('PART 2024'!$F$6&lt;1,'PISO 2021'!$J16*'PART 2024'!$D$6,'PISO 2021'!E16+Copete!E16),2)</f>
        <v>1099403.54</v>
      </c>
      <c r="G16" s="166">
        <f>ROUND(+IF('PART 2024'!$F$7&lt;1,'PISO 2021'!$J16*'PART 2024'!$D$7,'PISO 2021'!F16+Copete!F16),2)</f>
        <v>1956502.5</v>
      </c>
      <c r="H16" s="166">
        <f>ROUND(+IF('PART 2024'!$F$8&lt;1,'PISO 2021'!$J16*'PART 2024'!$D$8,'PISO 2021'!G16+Copete!G16),2)</f>
        <v>1146807.9099999999</v>
      </c>
      <c r="I16" s="166">
        <f>ROUND(+IF('PART 2024'!$F$9&lt;1,'PISO 2021'!$J16*'PART 2024'!$D$9,'PISO 2021'!H16+Copete!H16),2)</f>
        <v>181540.88</v>
      </c>
      <c r="J16" s="166">
        <f>+ROUND('COEF Art 14 F II'!M17,2)</f>
        <v>660392.93999999994</v>
      </c>
      <c r="K16" s="166">
        <f>+'ISR BI'!E14</f>
        <v>30121.1</v>
      </c>
      <c r="L16" s="216">
        <f t="shared" si="0"/>
        <v>52740748.979999997</v>
      </c>
    </row>
    <row r="17" spans="1:12">
      <c r="A17" s="246">
        <v>21</v>
      </c>
      <c r="B17" s="215" t="s">
        <v>7</v>
      </c>
      <c r="C17" s="166">
        <f>ROUND(+IF('PART 2024'!$F$4&lt;1,'PISO 2021'!$J17*'PART 2024'!$D$4,'PISO 2021'!C17+Copete!C17),2)</f>
        <v>65559574.039999999</v>
      </c>
      <c r="D17" s="166">
        <f>ROUND(+IF('PART 2024'!$F$5&lt;1,'PISO 2021'!$J17*'PART 2024'!$D$5,'PISO 2021'!D17+Copete!D17),2)</f>
        <v>9486739.2799999993</v>
      </c>
      <c r="E17" s="175">
        <f>ROUND(+'PART 2024'!D$11*'Art.14 Frac.III'!R16,2)</f>
        <v>5001018.24</v>
      </c>
      <c r="F17" s="166">
        <f>ROUND(+IF('PART 2024'!$F$6&lt;1,'PISO 2021'!$J17*'PART 2024'!$D$6,'PISO 2021'!E17+Copete!E17),2)</f>
        <v>2119977.25</v>
      </c>
      <c r="G17" s="166">
        <f>ROUND(+IF('PART 2024'!$F$7&lt;1,'PISO 2021'!$J17*'PART 2024'!$D$7,'PISO 2021'!F17+Copete!F17),2)</f>
        <v>3706246.47</v>
      </c>
      <c r="H17" s="166">
        <f>ROUND(+IF('PART 2024'!$F$8&lt;1,'PISO 2021'!$J17*'PART 2024'!$D$8,'PISO 2021'!G17+Copete!G17),2)</f>
        <v>2059794.55</v>
      </c>
      <c r="I17" s="166">
        <f>ROUND(+IF('PART 2024'!$F$9&lt;1,'PISO 2021'!$J17*'PART 2024'!$D$9,'PISO 2021'!H17+Copete!H17),2)</f>
        <v>358951.06</v>
      </c>
      <c r="J17" s="166">
        <f>+ROUND('COEF Art 14 F II'!M18,2)</f>
        <v>887998.6</v>
      </c>
      <c r="K17" s="166">
        <f>+'ISR BI'!E15</f>
        <v>72576.88</v>
      </c>
      <c r="L17" s="216">
        <f t="shared" si="0"/>
        <v>89252876.369999975</v>
      </c>
    </row>
    <row r="18" spans="1:12">
      <c r="A18" s="246">
        <v>22</v>
      </c>
      <c r="B18" s="215" t="s">
        <v>133</v>
      </c>
      <c r="C18" s="166">
        <f>ROUND(+IF('PART 2024'!$F$4&lt;1,'PISO 2021'!$J18*'PART 2024'!$D$4,'PISO 2021'!C18+Copete!C18),2)</f>
        <v>45012376.609999999</v>
      </c>
      <c r="D18" s="166">
        <f>ROUND(+IF('PART 2024'!$F$5&lt;1,'PISO 2021'!$J18*'PART 2024'!$D$5,'PISO 2021'!D18+Copete!D18),2)</f>
        <v>6953997.2199999997</v>
      </c>
      <c r="E18" s="175">
        <f>ROUND(+'PART 2024'!D$11*'Art.14 Frac.III'!R17,2)</f>
        <v>5753272.8300000001</v>
      </c>
      <c r="F18" s="166">
        <f>ROUND(+IF('PART 2024'!$F$6&lt;1,'PISO 2021'!$J18*'PART 2024'!$D$6,'PISO 2021'!E18+Copete!E18),2)</f>
        <v>1388202.45</v>
      </c>
      <c r="G18" s="166">
        <f>ROUND(+IF('PART 2024'!$F$7&lt;1,'PISO 2021'!$J18*'PART 2024'!$D$7,'PISO 2021'!F18+Copete!F18),2)</f>
        <v>2540606.9700000002</v>
      </c>
      <c r="H18" s="166">
        <f>ROUND(+IF('PART 2024'!$F$8&lt;1,'PISO 2021'!$J18*'PART 2024'!$D$8,'PISO 2021'!G18+Copete!G18),2)</f>
        <v>1608053.72</v>
      </c>
      <c r="I18" s="166">
        <f>ROUND(+IF('PART 2024'!$F$9&lt;1,'PISO 2021'!$J18*'PART 2024'!$D$9,'PISO 2021'!H18+Copete!H18),2)</f>
        <v>219850.56</v>
      </c>
      <c r="J18" s="166">
        <f>+ROUND('COEF Art 14 F II'!M19,2)</f>
        <v>3102109.62</v>
      </c>
      <c r="K18" s="166">
        <f>+'ISR BI'!E16</f>
        <v>1760589.32</v>
      </c>
      <c r="L18" s="216">
        <f t="shared" si="0"/>
        <v>68339059.299999997</v>
      </c>
    </row>
    <row r="19" spans="1:12">
      <c r="A19" s="246">
        <v>25</v>
      </c>
      <c r="B19" s="215" t="s">
        <v>8</v>
      </c>
      <c r="C19" s="166">
        <f>ROUND(+IF('PART 2024'!$F$4&lt;1,'PISO 2021'!$J19*'PART 2024'!$D$4,'PISO 2021'!C19+Copete!C19),2)</f>
        <v>177852098.46000001</v>
      </c>
      <c r="D19" s="166">
        <f>ROUND(+IF('PART 2024'!$F$5&lt;1,'PISO 2021'!$J19*'PART 2024'!$D$5,'PISO 2021'!D19+Copete!D19),2)</f>
        <v>25502437.670000002</v>
      </c>
      <c r="E19" s="175">
        <f>ROUND(+'PART 2024'!D$11*'Art.14 Frac.III'!R18,2)</f>
        <v>3667118.16</v>
      </c>
      <c r="F19" s="166">
        <f>ROUND(+IF('PART 2024'!$F$6&lt;1,'PISO 2021'!$J19*'PART 2024'!$D$6,'PISO 2021'!E19+Copete!E19),2)</f>
        <v>5786837.8799999999</v>
      </c>
      <c r="G19" s="166">
        <f>ROUND(+IF('PART 2024'!$F$7&lt;1,'PISO 2021'!$J19*'PART 2024'!$D$7,'PISO 2021'!F19+Copete!F19),2)</f>
        <v>10056572.68</v>
      </c>
      <c r="H19" s="166">
        <f>ROUND(+IF('PART 2024'!$F$8&lt;1,'PISO 2021'!$J19*'PART 2024'!$D$8,'PISO 2021'!G19+Copete!G19),2)</f>
        <v>5485142.8799999999</v>
      </c>
      <c r="I19" s="166">
        <f>ROUND(+IF('PART 2024'!$F$9&lt;1,'PISO 2021'!$J19*'PART 2024'!$D$9,'PISO 2021'!H19+Copete!H19),2)</f>
        <v>987873.09</v>
      </c>
      <c r="J19" s="166">
        <f>+ROUND('COEF Art 14 F II'!M20,2)</f>
        <v>2505316.29</v>
      </c>
      <c r="K19" s="166">
        <f>+'ISR BI'!E17</f>
        <v>15564.85</v>
      </c>
      <c r="L19" s="216">
        <f t="shared" si="0"/>
        <v>231858961.95999998</v>
      </c>
    </row>
    <row r="20" spans="1:12">
      <c r="A20" s="246">
        <v>27</v>
      </c>
      <c r="B20" s="215" t="s">
        <v>9</v>
      </c>
      <c r="C20" s="166">
        <f>ROUND(+IF('PART 2024'!$F$4&lt;1,'PISO 2021'!$J20*'PART 2024'!$D$4,'PISO 2021'!C20+Copete!C20),2)</f>
        <v>22995503.690000001</v>
      </c>
      <c r="D20" s="166">
        <f>ROUND(+IF('PART 2024'!$F$5&lt;1,'PISO 2021'!$J20*'PART 2024'!$D$5,'PISO 2021'!D20+Copete!D20),2)</f>
        <v>3314816.71</v>
      </c>
      <c r="E20" s="175">
        <f>ROUND(+'PART 2024'!D$11*'Art.14 Frac.III'!R19,2)</f>
        <v>2677365.34</v>
      </c>
      <c r="F20" s="166">
        <f>ROUND(+IF('PART 2024'!$F$6&lt;1,'PISO 2021'!$J20*'PART 2024'!$D$6,'PISO 2021'!E20+Copete!E20),2)</f>
        <v>745543.35</v>
      </c>
      <c r="G20" s="166">
        <f>ROUND(+IF('PART 2024'!$F$7&lt;1,'PISO 2021'!$J20*'PART 2024'!$D$7,'PISO 2021'!F20+Copete!F20),2)</f>
        <v>1300110.4099999999</v>
      </c>
      <c r="H20" s="166">
        <f>ROUND(+IF('PART 2024'!$F$8&lt;1,'PISO 2021'!$J20*'PART 2024'!$D$8,'PISO 2021'!G20+Copete!G20),2)</f>
        <v>716888.37</v>
      </c>
      <c r="I20" s="166">
        <f>ROUND(+IF('PART 2024'!$F$9&lt;1,'PISO 2021'!$J20*'PART 2024'!$D$9,'PISO 2021'!H20+Copete!H20),2)</f>
        <v>126673.25</v>
      </c>
      <c r="J20" s="166">
        <f>+ROUND('COEF Art 14 F II'!M21,2)</f>
        <v>211351.41</v>
      </c>
      <c r="K20" s="166">
        <f>+'ISR BI'!E18</f>
        <v>2281.92</v>
      </c>
      <c r="L20" s="216">
        <f t="shared" si="0"/>
        <v>32090534.450000007</v>
      </c>
    </row>
    <row r="21" spans="1:12">
      <c r="A21" s="246">
        <v>26</v>
      </c>
      <c r="B21" s="215" t="s">
        <v>134</v>
      </c>
      <c r="C21" s="166">
        <f>ROUND(+IF('PART 2024'!$F$4&lt;1,'PISO 2021'!$J21*'PART 2024'!$D$4,'PISO 2021'!C21+Copete!C21),2)</f>
        <v>16005928.960000001</v>
      </c>
      <c r="D21" s="166">
        <f>ROUND(+IF('PART 2024'!$F$5&lt;1,'PISO 2021'!$J21*'PART 2024'!$D$5,'PISO 2021'!D21+Copete!D21),2)</f>
        <v>2302864.7999999998</v>
      </c>
      <c r="E21" s="175">
        <f>ROUND(+'PART 2024'!D$11*'Art.14 Frac.III'!R20,2)</f>
        <v>5230852.92</v>
      </c>
      <c r="F21" s="166">
        <f>ROUND(+IF('PART 2024'!$F$6&lt;1,'PISO 2021'!$J21*'PART 2024'!$D$6,'PISO 2021'!E21+Copete!E21),2)</f>
        <v>519605.19</v>
      </c>
      <c r="G21" s="166">
        <f>ROUND(+IF('PART 2024'!$F$7&lt;1,'PISO 2021'!$J21*'PART 2024'!$D$7,'PISO 2021'!F21+Copete!F21),2)</f>
        <v>904977.19</v>
      </c>
      <c r="H21" s="166">
        <f>ROUND(+IF('PART 2024'!$F$8&lt;1,'PISO 2021'!$J21*'PART 2024'!$D$8,'PISO 2021'!G21+Copete!G21),2)</f>
        <v>497051.26</v>
      </c>
      <c r="I21" s="166">
        <f>ROUND(+IF('PART 2024'!$F$9&lt;1,'PISO 2021'!$J21*'PART 2024'!$D$9,'PISO 2021'!H21+Copete!H21),2)</f>
        <v>88436.11</v>
      </c>
      <c r="J21" s="166">
        <f>+ROUND('COEF Art 14 F II'!M22,2)</f>
        <v>229106.66</v>
      </c>
      <c r="K21" s="166">
        <f>+'ISR BI'!E19</f>
        <v>75692.12</v>
      </c>
      <c r="L21" s="216">
        <f t="shared" si="0"/>
        <v>25854515.210000005</v>
      </c>
    </row>
    <row r="22" spans="1:12">
      <c r="A22" s="246">
        <v>29</v>
      </c>
      <c r="B22" s="215" t="s">
        <v>10</v>
      </c>
      <c r="C22" s="166">
        <f>ROUND(+IF('PART 2024'!$F$4&lt;1,'PISO 2021'!$J22*'PART 2024'!$D$4,'PISO 2021'!C22+Copete!C22),2)</f>
        <v>141901025.25</v>
      </c>
      <c r="D22" s="166">
        <f>ROUND(+IF('PART 2024'!$F$5&lt;1,'PISO 2021'!$J22*'PART 2024'!$D$5,'PISO 2021'!D22+Copete!D22),2)</f>
        <v>20512364.559999999</v>
      </c>
      <c r="E22" s="175">
        <f>ROUND(+'PART 2024'!D$11*'Art.14 Frac.III'!R21,2)</f>
        <v>5113216.95</v>
      </c>
      <c r="F22" s="166">
        <f>ROUND(+IF('PART 2024'!$F$6&lt;1,'PISO 2021'!$J22*'PART 2024'!$D$6,'PISO 2021'!E22+Copete!E22),2)</f>
        <v>4591860.04</v>
      </c>
      <c r="G22" s="166">
        <f>ROUND(+IF('PART 2024'!$F$7&lt;1,'PISO 2021'!$J22*'PART 2024'!$D$7,'PISO 2021'!F22+Copete!F22),2)</f>
        <v>8022215.4100000001</v>
      </c>
      <c r="H22" s="166">
        <f>ROUND(+IF('PART 2024'!$F$8&lt;1,'PISO 2021'!$J22*'PART 2024'!$D$8,'PISO 2021'!G22+Copete!G22),2)</f>
        <v>4448971.3600000003</v>
      </c>
      <c r="I22" s="166">
        <f>ROUND(+IF('PART 2024'!$F$9&lt;1,'PISO 2021'!$J22*'PART 2024'!$D$9,'PISO 2021'!H22+Copete!H22),2)</f>
        <v>778220.88</v>
      </c>
      <c r="J22" s="166">
        <f>+ROUND('COEF Art 14 F II'!M23,2)</f>
        <v>2679788.4900000002</v>
      </c>
      <c r="K22" s="166">
        <f>+'ISR BI'!E20</f>
        <v>46360.78</v>
      </c>
      <c r="L22" s="216">
        <f t="shared" si="0"/>
        <v>188094023.72</v>
      </c>
    </row>
    <row r="23" spans="1:12">
      <c r="A23" s="246">
        <v>30</v>
      </c>
      <c r="B23" s="215" t="s">
        <v>135</v>
      </c>
      <c r="C23" s="166">
        <f>ROUND(+IF('PART 2024'!$F$4&lt;1,'PISO 2021'!$J23*'PART 2024'!$D$4,'PISO 2021'!C23+Copete!C23),2)</f>
        <v>237962289.63</v>
      </c>
      <c r="D23" s="166">
        <f>ROUND(+IF('PART 2024'!$F$5&lt;1,'PISO 2021'!$J23*'PART 2024'!$D$5,'PISO 2021'!D23+Copete!D23),2)</f>
        <v>36813810.530000001</v>
      </c>
      <c r="E23" s="175">
        <f>ROUND(+'PART 2024'!D$11*'Art.14 Frac.III'!R22,2)</f>
        <v>6954798.3200000003</v>
      </c>
      <c r="F23" s="166">
        <f>ROUND(+IF('PART 2024'!$F$6&lt;1,'PISO 2021'!$J23*'PART 2024'!$D$6,'PISO 2021'!E23+Copete!E23),2)</f>
        <v>7331095.71</v>
      </c>
      <c r="G23" s="166">
        <f>ROUND(+IF('PART 2024'!$F$7&lt;1,'PISO 2021'!$J23*'PART 2024'!$D$7,'PISO 2021'!F23+Copete!F23),2)</f>
        <v>13430696.98</v>
      </c>
      <c r="H23" s="166">
        <f>ROUND(+IF('PART 2024'!$F$8&lt;1,'PISO 2021'!$J23*'PART 2024'!$D$8,'PISO 2021'!G23+Copete!G23),2)</f>
        <v>8523496.6300000008</v>
      </c>
      <c r="I23" s="166">
        <f>ROUND(+IF('PART 2024'!$F$9&lt;1,'PISO 2021'!$J23*'PART 2024'!$D$9,'PISO 2021'!H23+Copete!H23),2)</f>
        <v>1159191.8700000001</v>
      </c>
      <c r="J23" s="166">
        <f>+ROUND('COEF Art 14 F II'!M24,2)</f>
        <v>17858166.48</v>
      </c>
      <c r="K23" s="166">
        <f>+'ISR BI'!E21</f>
        <v>12485628.539999999</v>
      </c>
      <c r="L23" s="216">
        <f t="shared" si="0"/>
        <v>342519174.69</v>
      </c>
    </row>
    <row r="24" spans="1:12">
      <c r="A24" s="246">
        <v>32</v>
      </c>
      <c r="B24" s="215" t="s">
        <v>11</v>
      </c>
      <c r="C24" s="166">
        <f>ROUND(+IF('PART 2024'!$F$4&lt;1,'PISO 2021'!$J24*'PART 2024'!$D$4,'PISO 2021'!C24+Copete!C24),2)</f>
        <v>29505005.809999999</v>
      </c>
      <c r="D24" s="166">
        <f>ROUND(+IF('PART 2024'!$F$5&lt;1,'PISO 2021'!$J24*'PART 2024'!$D$5,'PISO 2021'!D24+Copete!D24),2)</f>
        <v>4351603.66</v>
      </c>
      <c r="E24" s="175">
        <f>ROUND(+'PART 2024'!D$11*'Art.14 Frac.III'!R23,2)</f>
        <v>3647276.89</v>
      </c>
      <c r="F24" s="166">
        <f>ROUND(+IF('PART 2024'!$F$6&lt;1,'PISO 2021'!$J24*'PART 2024'!$D$6,'PISO 2021'!E24+Copete!E24),2)</f>
        <v>941540.4</v>
      </c>
      <c r="G24" s="166">
        <f>ROUND(+IF('PART 2024'!$F$7&lt;1,'PISO 2021'!$J24*'PART 2024'!$D$7,'PISO 2021'!F24+Copete!F24),2)</f>
        <v>1667235.8400000001</v>
      </c>
      <c r="H24" s="166">
        <f>ROUND(+IF('PART 2024'!$F$8&lt;1,'PISO 2021'!$J24*'PART 2024'!$D$8,'PISO 2021'!G24+Copete!G24),2)</f>
        <v>963134.77</v>
      </c>
      <c r="I24" s="166">
        <f>ROUND(+IF('PART 2024'!$F$9&lt;1,'PISO 2021'!$J24*'PART 2024'!$D$9,'PISO 2021'!H24+Copete!H24),2)</f>
        <v>156587.41</v>
      </c>
      <c r="J24" s="166">
        <f>+ROUND('COEF Art 14 F II'!M25,2)</f>
        <v>504932.79</v>
      </c>
      <c r="K24" s="166">
        <f>+'ISR BI'!E22</f>
        <v>18747.97</v>
      </c>
      <c r="L24" s="216">
        <f t="shared" si="0"/>
        <v>41756065.539999999</v>
      </c>
    </row>
    <row r="25" spans="1:12">
      <c r="A25" s="246">
        <v>33</v>
      </c>
      <c r="B25" s="215" t="s">
        <v>12</v>
      </c>
      <c r="C25" s="166">
        <f>ROUND(+IF('PART 2024'!$F$4&lt;1,'PISO 2021'!$J25*'PART 2024'!$D$4,'PISO 2021'!C25+Copete!C25),2)</f>
        <v>443236284.81999999</v>
      </c>
      <c r="D25" s="166">
        <f>ROUND(+IF('PART 2024'!$F$5&lt;1,'PISO 2021'!$J25*'PART 2024'!$D$5,'PISO 2021'!D25+Copete!D25),2)</f>
        <v>66802520.909999996</v>
      </c>
      <c r="E25" s="175">
        <f>ROUND(+'PART 2024'!D$11*'Art.14 Frac.III'!R24,2)</f>
        <v>12442104.16</v>
      </c>
      <c r="F25" s="166">
        <f>ROUND(+IF('PART 2024'!$F$6&lt;1,'PISO 2021'!$J25*'PART 2024'!$D$6,'PISO 2021'!E25+Copete!E25),2)</f>
        <v>13925441.48</v>
      </c>
      <c r="G25" s="166">
        <f>ROUND(+IF('PART 2024'!$F$7&lt;1,'PISO 2021'!$J25*'PART 2024'!$D$7,'PISO 2021'!F25+Copete!F25),2)</f>
        <v>25032727.710000001</v>
      </c>
      <c r="H25" s="166">
        <f>ROUND(+IF('PART 2024'!$F$8&lt;1,'PISO 2021'!$J25*'PART 2024'!$D$8,'PISO 2021'!G25+Copete!G25),2)</f>
        <v>15098206.57</v>
      </c>
      <c r="I25" s="166">
        <f>ROUND(+IF('PART 2024'!$F$9&lt;1,'PISO 2021'!$J25*'PART 2024'!$D$9,'PISO 2021'!H25+Copete!H25),2)</f>
        <v>2265913.02</v>
      </c>
      <c r="J25" s="166">
        <f>+ROUND('COEF Art 14 F II'!M26,2)</f>
        <v>24329394.469999999</v>
      </c>
      <c r="K25" s="166">
        <f>+'ISR BI'!E23</f>
        <v>6429266.4900000002</v>
      </c>
      <c r="L25" s="216">
        <f t="shared" si="0"/>
        <v>609561859.63000011</v>
      </c>
    </row>
    <row r="26" spans="1:12">
      <c r="A26" s="246">
        <v>34</v>
      </c>
      <c r="B26" s="215" t="s">
        <v>136</v>
      </c>
      <c r="C26" s="166">
        <f>ROUND(+IF('PART 2024'!$F$4&lt;1,'PISO 2021'!$J26*'PART 2024'!$D$4,'PISO 2021'!C26+Copete!C26),2)</f>
        <v>56517534.049999997</v>
      </c>
      <c r="D26" s="166">
        <f>ROUND(+IF('PART 2024'!$F$5&lt;1,'PISO 2021'!$J26*'PART 2024'!$D$5,'PISO 2021'!D26+Copete!D26),2)</f>
        <v>8226969.2300000004</v>
      </c>
      <c r="E26" s="175">
        <f>ROUND(+'PART 2024'!D$11*'Art.14 Frac.III'!R25,2)</f>
        <v>5482466.0899999999</v>
      </c>
      <c r="F26" s="166">
        <f>ROUND(+IF('PART 2024'!$F$6&lt;1,'PISO 2021'!$J26*'PART 2024'!$D$6,'PISO 2021'!E26+Copete!E26),2)</f>
        <v>1820150.26</v>
      </c>
      <c r="G26" s="166">
        <f>ROUND(+IF('PART 2024'!$F$7&lt;1,'PISO 2021'!$J26*'PART 2024'!$D$7,'PISO 2021'!F26+Copete!F26),2)</f>
        <v>3194629.53</v>
      </c>
      <c r="H26" s="166">
        <f>ROUND(+IF('PART 2024'!$F$8&lt;1,'PISO 2021'!$J26*'PART 2024'!$D$8,'PISO 2021'!G26+Copete!G26),2)</f>
        <v>1797111.25</v>
      </c>
      <c r="I26" s="166">
        <f>ROUND(+IF('PART 2024'!$F$9&lt;1,'PISO 2021'!$J26*'PART 2024'!$D$9,'PISO 2021'!H26+Copete!H26),2)</f>
        <v>306506.46000000002</v>
      </c>
      <c r="J26" s="166">
        <f>+ROUND('COEF Art 14 F II'!M27,2)</f>
        <v>1040010.49</v>
      </c>
      <c r="K26" s="166">
        <f>+'ISR BI'!E24</f>
        <v>272923.08</v>
      </c>
      <c r="L26" s="216">
        <f t="shared" si="0"/>
        <v>78658300.439999998</v>
      </c>
    </row>
    <row r="27" spans="1:12">
      <c r="A27" s="246">
        <v>35</v>
      </c>
      <c r="B27" s="215" t="s">
        <v>13</v>
      </c>
      <c r="C27" s="166">
        <f>ROUND(+IF('PART 2024'!$F$4&lt;1,'PISO 2021'!$J27*'PART 2024'!$D$4,'PISO 2021'!C27+Copete!C27),2)</f>
        <v>9631857.8499999996</v>
      </c>
      <c r="D27" s="166">
        <f>ROUND(+IF('PART 2024'!$F$5&lt;1,'PISO 2021'!$J27*'PART 2024'!$D$5,'PISO 2021'!D27+Copete!D27),2)</f>
        <v>1418277.47</v>
      </c>
      <c r="E27" s="175">
        <f>ROUND(+'PART 2024'!D$11*'Art.14 Frac.III'!R26,2)</f>
        <v>8493214.25</v>
      </c>
      <c r="F27" s="166">
        <f>ROUND(+IF('PART 2024'!$F$6&lt;1,'PISO 2021'!$J27*'PART 2024'!$D$6,'PISO 2021'!E27+Copete!E27),2)</f>
        <v>307715.23</v>
      </c>
      <c r="G27" s="166">
        <f>ROUND(+IF('PART 2024'!$F$7&lt;1,'PISO 2021'!$J27*'PART 2024'!$D$7,'PISO 2021'!F27+Copete!F27),2)</f>
        <v>544287.38</v>
      </c>
      <c r="H27" s="166">
        <f>ROUND(+IF('PART 2024'!$F$8&lt;1,'PISO 2021'!$J27*'PART 2024'!$D$8,'PISO 2021'!G27+Copete!G27),2)</f>
        <v>313403.46000000002</v>
      </c>
      <c r="I27" s="166">
        <f>ROUND(+IF('PART 2024'!$F$9&lt;1,'PISO 2021'!$J27*'PART 2024'!$D$9,'PISO 2021'!H27+Copete!H27),2)</f>
        <v>51256.33</v>
      </c>
      <c r="J27" s="166">
        <f>+ROUND('COEF Art 14 F II'!M28,2)</f>
        <v>146132.66</v>
      </c>
      <c r="K27" s="166">
        <f>+'ISR BI'!E25</f>
        <v>5266.79</v>
      </c>
      <c r="L27" s="216">
        <f t="shared" si="0"/>
        <v>20911411.419999998</v>
      </c>
    </row>
    <row r="28" spans="1:12">
      <c r="A28" s="246">
        <v>61</v>
      </c>
      <c r="B28" s="215" t="s">
        <v>14</v>
      </c>
      <c r="C28" s="166">
        <f>ROUND(+IF('PART 2024'!$F$4&lt;1,'PISO 2021'!$J28*'PART 2024'!$D$4,'PISO 2021'!C28+Copete!C28),2)</f>
        <v>40245961.890000001</v>
      </c>
      <c r="D28" s="166">
        <f>ROUND(+IF('PART 2024'!$F$5&lt;1,'PISO 2021'!$J28*'PART 2024'!$D$5,'PISO 2021'!D28+Copete!D28),2)</f>
        <v>5790694.5700000003</v>
      </c>
      <c r="E28" s="175">
        <f>ROUND(+'PART 2024'!D$11*'Art.14 Frac.III'!R27,2)</f>
        <v>7855635.4100000001</v>
      </c>
      <c r="F28" s="166">
        <f>ROUND(+IF('PART 2024'!$F$6&lt;1,'PISO 2021'!$J28*'PART 2024'!$D$6,'PISO 2021'!E28+Copete!E28),2)</f>
        <v>1306474.1499999999</v>
      </c>
      <c r="G28" s="166">
        <f>ROUND(+IF('PART 2024'!$F$7&lt;1,'PISO 2021'!$J28*'PART 2024'!$D$7,'PISO 2021'!F28+Copete!F28),2)</f>
        <v>2275509.09</v>
      </c>
      <c r="H28" s="166">
        <f>ROUND(+IF('PART 2024'!$F$8&lt;1,'PISO 2021'!$J28*'PART 2024'!$D$8,'PISO 2021'!G28+Copete!G28),2)</f>
        <v>1249927.97</v>
      </c>
      <c r="I28" s="166">
        <f>ROUND(+IF('PART 2024'!$F$9&lt;1,'PISO 2021'!$J28*'PART 2024'!$D$9,'PISO 2021'!H28+Copete!H28),2)</f>
        <v>222350.64</v>
      </c>
      <c r="J28" s="166">
        <f>+ROUND('COEF Art 14 F II'!M29,2)</f>
        <v>505806.88</v>
      </c>
      <c r="K28" s="166">
        <f>+'ISR BI'!E26</f>
        <v>1952.06</v>
      </c>
      <c r="L28" s="216">
        <f t="shared" si="0"/>
        <v>59454312.660000004</v>
      </c>
    </row>
    <row r="29" spans="1:12">
      <c r="A29" s="246">
        <v>36</v>
      </c>
      <c r="B29" s="215" t="s">
        <v>15</v>
      </c>
      <c r="C29" s="166">
        <f>ROUND(+IF('PART 2024'!$F$4&lt;1,'PISO 2021'!$J29*'PART 2024'!$D$4,'PISO 2021'!C29+Copete!C29),2)</f>
        <v>57295607.619999997</v>
      </c>
      <c r="D29" s="166">
        <f>ROUND(+IF('PART 2024'!$F$5&lt;1,'PISO 2021'!$J29*'PART 2024'!$D$5,'PISO 2021'!D29+Copete!D29),2)</f>
        <v>8925140.4499999993</v>
      </c>
      <c r="E29" s="175">
        <f>ROUND(+'PART 2024'!D$11*'Art.14 Frac.III'!R28,2)</f>
        <v>8941836.6300000008</v>
      </c>
      <c r="F29" s="166">
        <f>ROUND(+IF('PART 2024'!$F$6&lt;1,'PISO 2021'!$J29*'PART 2024'!$D$6,'PISO 2021'!E29+Copete!E29),2)</f>
        <v>1755786.65</v>
      </c>
      <c r="G29" s="166">
        <f>ROUND(+IF('PART 2024'!$F$7&lt;1,'PISO 2021'!$J29*'PART 2024'!$D$7,'PISO 2021'!F29+Copete!F29),2)</f>
        <v>3233225.56</v>
      </c>
      <c r="H29" s="166">
        <f>ROUND(+IF('PART 2024'!$F$8&lt;1,'PISO 2021'!$J29*'PART 2024'!$D$8,'PISO 2021'!G29+Copete!G29),2)</f>
        <v>2079206.48</v>
      </c>
      <c r="I29" s="166">
        <f>ROUND(+IF('PART 2024'!$F$9&lt;1,'PISO 2021'!$J29*'PART 2024'!$D$9,'PISO 2021'!H29+Copete!H29),2)</f>
        <v>275406.51</v>
      </c>
      <c r="J29" s="166">
        <f>+ROUND('COEF Art 14 F II'!M30,2)</f>
        <v>4889239.4000000004</v>
      </c>
      <c r="K29" s="166">
        <f>+'ISR BI'!E27</f>
        <v>883930.35</v>
      </c>
      <c r="L29" s="216">
        <f t="shared" si="0"/>
        <v>88279379.650000006</v>
      </c>
    </row>
    <row r="30" spans="1:12">
      <c r="A30" s="246">
        <v>28</v>
      </c>
      <c r="B30" s="215" t="s">
        <v>16</v>
      </c>
      <c r="C30" s="166">
        <f>ROUND(+IF('PART 2024'!$F$4&lt;1,'PISO 2021'!$J30*'PART 2024'!$D$4,'PISO 2021'!C30+Copete!C30),2)</f>
        <v>760781438.88999999</v>
      </c>
      <c r="D30" s="166">
        <f>ROUND(+IF('PART 2024'!$F$5&lt;1,'PISO 2021'!$J30*'PART 2024'!$D$5,'PISO 2021'!D30+Copete!D30),2)</f>
        <v>114749780.5</v>
      </c>
      <c r="E30" s="175">
        <f>ROUND(+'PART 2024'!D$11*'Art.14 Frac.III'!R29,2)</f>
        <v>30312778.030000001</v>
      </c>
      <c r="F30" s="166">
        <f>ROUND(+IF('PART 2024'!$F$6&lt;1,'PISO 2021'!$J30*'PART 2024'!$D$6,'PISO 2021'!E30+Copete!E30),2)</f>
        <v>23888460.25</v>
      </c>
      <c r="G30" s="166">
        <f>ROUND(+IF('PART 2024'!$F$7&lt;1,'PISO 2021'!$J30*'PART 2024'!$D$7,'PISO 2021'!F30+Copete!F30),2)</f>
        <v>42965963.950000003</v>
      </c>
      <c r="H30" s="166">
        <f>ROUND(+IF('PART 2024'!$F$8&lt;1,'PISO 2021'!$J30*'PART 2024'!$D$8,'PISO 2021'!G30+Copete!G30),2)</f>
        <v>25953787.149999999</v>
      </c>
      <c r="I30" s="166">
        <f>ROUND(+IF('PART 2024'!$F$9&lt;1,'PISO 2021'!$J30*'PART 2024'!$D$9,'PISO 2021'!H30+Copete!H30),2)</f>
        <v>3883934.3</v>
      </c>
      <c r="J30" s="166">
        <f>+ROUND('COEF Art 14 F II'!M31,2)</f>
        <v>36198478.990000002</v>
      </c>
      <c r="K30" s="166">
        <f>+'ISR BI'!E28</f>
        <v>8032985.75</v>
      </c>
      <c r="L30" s="216">
        <f t="shared" si="0"/>
        <v>1046767607.8099999</v>
      </c>
    </row>
    <row r="31" spans="1:12">
      <c r="A31" s="246">
        <v>37</v>
      </c>
      <c r="B31" s="215" t="s">
        <v>137</v>
      </c>
      <c r="C31" s="166">
        <f>ROUND(+IF('PART 2024'!$F$4&lt;1,'PISO 2021'!$J31*'PART 2024'!$D$4,'PISO 2021'!C31+Copete!C31),2)</f>
        <v>15887591.800000001</v>
      </c>
      <c r="D31" s="166">
        <f>ROUND(+IF('PART 2024'!$F$5&lt;1,'PISO 2021'!$J31*'PART 2024'!$D$5,'PISO 2021'!D31+Copete!D31),2)</f>
        <v>2276024.4900000002</v>
      </c>
      <c r="E31" s="175">
        <f>ROUND(+'PART 2024'!D$11*'Art.14 Frac.III'!R30,2)</f>
        <v>4200785.04</v>
      </c>
      <c r="F31" s="166">
        <f>ROUND(+IF('PART 2024'!$F$6&lt;1,'PISO 2021'!$J31*'PART 2024'!$D$6,'PISO 2021'!E31+Copete!E31),2)</f>
        <v>517264.02</v>
      </c>
      <c r="G31" s="166">
        <f>ROUND(+IF('PART 2024'!$F$7&lt;1,'PISO 2021'!$J31*'PART 2024'!$D$7,'PISO 2021'!F31+Copete!F31),2)</f>
        <v>898376.74</v>
      </c>
      <c r="H31" s="166">
        <f>ROUND(+IF('PART 2024'!$F$8&lt;1,'PISO 2021'!$J31*'PART 2024'!$D$8,'PISO 2021'!G31+Copete!G31),2)</f>
        <v>489058.14</v>
      </c>
      <c r="I31" s="166">
        <f>ROUND(+IF('PART 2024'!$F$9&lt;1,'PISO 2021'!$J31*'PART 2024'!$D$9,'PISO 2021'!H31+Copete!H31),2)</f>
        <v>88374.91</v>
      </c>
      <c r="J31" s="166">
        <f>+ROUND('COEF Art 14 F II'!M32,2)</f>
        <v>169057.35</v>
      </c>
      <c r="K31" s="166">
        <f>+'ISR BI'!E29</f>
        <v>2244.65</v>
      </c>
      <c r="L31" s="216">
        <f t="shared" si="0"/>
        <v>24528777.139999997</v>
      </c>
    </row>
    <row r="32" spans="1:12">
      <c r="A32" s="246">
        <v>39</v>
      </c>
      <c r="B32" s="215" t="s">
        <v>17</v>
      </c>
      <c r="C32" s="166">
        <f>ROUND(+IF('PART 2024'!$F$4&lt;1,'PISO 2021'!$J32*'PART 2024'!$D$4,'PISO 2021'!C32+Copete!C32),2)</f>
        <v>27787342.239999998</v>
      </c>
      <c r="D32" s="166">
        <f>ROUND(+IF('PART 2024'!$F$5&lt;1,'PISO 2021'!$J32*'PART 2024'!$D$5,'PISO 2021'!D32+Copete!D32),2)</f>
        <v>3998363.76</v>
      </c>
      <c r="E32" s="175">
        <f>ROUND(+'PART 2024'!D$11*'Art.14 Frac.III'!R31,2)</f>
        <v>6554204.5499999998</v>
      </c>
      <c r="F32" s="166">
        <f>ROUND(+IF('PART 2024'!$F$6&lt;1,'PISO 2021'!$J32*'PART 2024'!$D$6,'PISO 2021'!E32+Copete!E32),2)</f>
        <v>902001.5</v>
      </c>
      <c r="G32" s="166">
        <f>ROUND(+IF('PART 2024'!$F$7&lt;1,'PISO 2021'!$J32*'PART 2024'!$D$7,'PISO 2021'!F32+Copete!F32),2)</f>
        <v>1571095.7</v>
      </c>
      <c r="H32" s="166">
        <f>ROUND(+IF('PART 2024'!$F$8&lt;1,'PISO 2021'!$J32*'PART 2024'!$D$8,'PISO 2021'!G32+Copete!G32),2)</f>
        <v>863106.94</v>
      </c>
      <c r="I32" s="166">
        <f>ROUND(+IF('PART 2024'!$F$9&lt;1,'PISO 2021'!$J32*'PART 2024'!$D$9,'PISO 2021'!H32+Copete!H32),2)</f>
        <v>153504.35</v>
      </c>
      <c r="J32" s="166">
        <f>+ROUND('COEF Art 14 F II'!M33,2)</f>
        <v>807510.49</v>
      </c>
      <c r="K32" s="166">
        <f>+'ISR BI'!E30</f>
        <v>7159.99</v>
      </c>
      <c r="L32" s="216">
        <f t="shared" si="0"/>
        <v>42644289.520000003</v>
      </c>
    </row>
    <row r="33" spans="1:12">
      <c r="A33" s="246">
        <v>38</v>
      </c>
      <c r="B33" s="215" t="s">
        <v>18</v>
      </c>
      <c r="C33" s="166">
        <f>ROUND(+IF('PART 2024'!$F$4&lt;1,'PISO 2021'!$J33*'PART 2024'!$D$4,'PISO 2021'!C33+Copete!C33),2)</f>
        <v>16653747.52</v>
      </c>
      <c r="D33" s="166">
        <f>ROUND(+IF('PART 2024'!$F$5&lt;1,'PISO 2021'!$J33*'PART 2024'!$D$5,'PISO 2021'!D33+Copete!D33),2)</f>
        <v>2424175.7400000002</v>
      </c>
      <c r="E33" s="175">
        <f>ROUND(+'PART 2024'!D$11*'Art.14 Frac.III'!R32,2)</f>
        <v>8007217.0700000003</v>
      </c>
      <c r="F33" s="166">
        <f>ROUND(+IF('PART 2024'!$F$6&lt;1,'PISO 2021'!$J33*'PART 2024'!$D$6,'PISO 2021'!E33+Copete!E33),2)</f>
        <v>536338.72</v>
      </c>
      <c r="G33" s="166">
        <f>ROUND(+IF('PART 2024'!$F$7&lt;1,'PISO 2021'!$J33*'PART 2024'!$D$7,'PISO 2021'!F33+Copete!F33),2)</f>
        <v>941346.22</v>
      </c>
      <c r="H33" s="166">
        <f>ROUND(+IF('PART 2024'!$F$8&lt;1,'PISO 2021'!$J33*'PART 2024'!$D$8,'PISO 2021'!G33+Copete!G33),2)</f>
        <v>529534.9</v>
      </c>
      <c r="I33" s="166">
        <f>ROUND(+IF('PART 2024'!$F$9&lt;1,'PISO 2021'!$J33*'PART 2024'!$D$9,'PISO 2021'!H33+Copete!H33),2)</f>
        <v>90318.31</v>
      </c>
      <c r="J33" s="166">
        <f>+ROUND('COEF Art 14 F II'!M34,2)</f>
        <v>187824.89</v>
      </c>
      <c r="K33" s="166">
        <f>+'ISR BI'!E31</f>
        <v>11193.03</v>
      </c>
      <c r="L33" s="216">
        <f t="shared" si="0"/>
        <v>29381696.399999995</v>
      </c>
    </row>
    <row r="34" spans="1:12">
      <c r="A34" s="246">
        <v>40</v>
      </c>
      <c r="B34" s="215" t="s">
        <v>19</v>
      </c>
      <c r="C34" s="166">
        <f>ROUND(+IF('PART 2024'!$F$4&lt;1,'PISO 2021'!$J34*'PART 2024'!$D$4,'PISO 2021'!C34+Copete!C34),2)</f>
        <v>22559857.210000001</v>
      </c>
      <c r="D34" s="166">
        <f>ROUND(+IF('PART 2024'!$F$5&lt;1,'PISO 2021'!$J34*'PART 2024'!$D$5,'PISO 2021'!D34+Copete!D34),2)</f>
        <v>3258573.35</v>
      </c>
      <c r="E34" s="175">
        <f>ROUND(+'PART 2024'!D$11*'Art.14 Frac.III'!R33,2)</f>
        <v>4714356.8099999996</v>
      </c>
      <c r="F34" s="166">
        <f>ROUND(+IF('PART 2024'!$F$6&lt;1,'PISO 2021'!$J34*'PART 2024'!$D$6,'PISO 2021'!E34+Copete!E34),2)</f>
        <v>730416.95</v>
      </c>
      <c r="G34" s="166">
        <f>ROUND(+IF('PART 2024'!$F$7&lt;1,'PISO 2021'!$J34*'PART 2024'!$D$7,'PISO 2021'!F34+Copete!F34),2)</f>
        <v>1275419.6599999999</v>
      </c>
      <c r="H34" s="166">
        <f>ROUND(+IF('PART 2024'!$F$8&lt;1,'PISO 2021'!$J34*'PART 2024'!$D$8,'PISO 2021'!G34+Copete!G34),2)</f>
        <v>706191.32</v>
      </c>
      <c r="I34" s="166">
        <f>ROUND(+IF('PART 2024'!$F$9&lt;1,'PISO 2021'!$J34*'PART 2024'!$D$9,'PISO 2021'!H34+Copete!H34),2)</f>
        <v>123877.6</v>
      </c>
      <c r="J34" s="166">
        <f>+ROUND('COEF Art 14 F II'!M35,2)</f>
        <v>446595.28</v>
      </c>
      <c r="K34" s="166">
        <f>+'ISR BI'!E32</f>
        <v>15607.12</v>
      </c>
      <c r="L34" s="216">
        <f t="shared" si="0"/>
        <v>33830895.299999997</v>
      </c>
    </row>
    <row r="35" spans="1:12">
      <c r="A35" s="246">
        <v>41</v>
      </c>
      <c r="B35" s="215" t="s">
        <v>20</v>
      </c>
      <c r="C35" s="166">
        <f>ROUND(+IF('PART 2024'!$F$4&lt;1,'PISO 2021'!$J35*'PART 2024'!$D$4,'PISO 2021'!C35+Copete!C35),2)</f>
        <v>21881431.93</v>
      </c>
      <c r="D35" s="166">
        <f>ROUND(+IF('PART 2024'!$F$5&lt;1,'PISO 2021'!$J35*'PART 2024'!$D$5,'PISO 2021'!D35+Copete!D35),2)</f>
        <v>3175421.49</v>
      </c>
      <c r="E35" s="175">
        <f>ROUND(+'PART 2024'!D$11*'Art.14 Frac.III'!R34,2)</f>
        <v>2945213.42</v>
      </c>
      <c r="F35" s="166">
        <f>ROUND(+IF('PART 2024'!$F$6&lt;1,'PISO 2021'!$J35*'PART 2024'!$D$6,'PISO 2021'!E35+Copete!E35),2)</f>
        <v>706182.83</v>
      </c>
      <c r="G35" s="166">
        <f>ROUND(+IF('PART 2024'!$F$7&lt;1,'PISO 2021'!$J35*'PART 2024'!$D$7,'PISO 2021'!F35+Copete!F35),2)</f>
        <v>1236928.3400000001</v>
      </c>
      <c r="H35" s="166">
        <f>ROUND(+IF('PART 2024'!$F$8&lt;1,'PISO 2021'!$J35*'PART 2024'!$D$8,'PISO 2021'!G35+Copete!G35),2)</f>
        <v>691484.32</v>
      </c>
      <c r="I35" s="166">
        <f>ROUND(+IF('PART 2024'!$F$9&lt;1,'PISO 2021'!$J35*'PART 2024'!$D$9,'PISO 2021'!H35+Copete!H35),2)</f>
        <v>119256.17</v>
      </c>
      <c r="J35" s="166">
        <f>+ROUND('COEF Art 14 F II'!M36,2)</f>
        <v>303463.90999999997</v>
      </c>
      <c r="K35" s="166">
        <f>+'ISR BI'!E33</f>
        <v>1994.75</v>
      </c>
      <c r="L35" s="216">
        <f t="shared" si="0"/>
        <v>31061377.160000004</v>
      </c>
    </row>
    <row r="36" spans="1:12">
      <c r="A36" s="246">
        <v>42</v>
      </c>
      <c r="B36" s="215" t="s">
        <v>138</v>
      </c>
      <c r="C36" s="166">
        <f>ROUND(+IF('PART 2024'!$F$4&lt;1,'PISO 2021'!$J36*'PART 2024'!$D$4,'PISO 2021'!C36+Copete!C36),2)</f>
        <v>281325975.25999999</v>
      </c>
      <c r="D36" s="166">
        <f>ROUND(+IF('PART 2024'!$F$5&lt;1,'PISO 2021'!$J36*'PART 2024'!$D$5,'PISO 2021'!D36+Copete!D36),2)</f>
        <v>43821677.420000002</v>
      </c>
      <c r="E36" s="175">
        <f>ROUND(+'PART 2024'!D$11*'Art.14 Frac.III'!R35,2)</f>
        <v>8779238.0199999996</v>
      </c>
      <c r="F36" s="166">
        <f>ROUND(+IF('PART 2024'!$F$6&lt;1,'PISO 2021'!$J36*'PART 2024'!$D$6,'PISO 2021'!E36+Copete!E36),2)</f>
        <v>8621276.3200000003</v>
      </c>
      <c r="G36" s="166">
        <f>ROUND(+IF('PART 2024'!$F$7&lt;1,'PISO 2021'!$J36*'PART 2024'!$D$7,'PISO 2021'!F36+Copete!F36),2)</f>
        <v>15875407.34</v>
      </c>
      <c r="H36" s="166">
        <f>ROUND(+IF('PART 2024'!$F$8&lt;1,'PISO 2021'!$J36*'PART 2024'!$D$8,'PISO 2021'!G36+Copete!G36),2)</f>
        <v>10208421.98</v>
      </c>
      <c r="I36" s="166">
        <f>ROUND(+IF('PART 2024'!$F$9&lt;1,'PISO 2021'!$J36*'PART 2024'!$D$9,'PISO 2021'!H36+Copete!H36),2)</f>
        <v>1352356.54</v>
      </c>
      <c r="J36" s="166">
        <f>+ROUND('COEF Art 14 F II'!M37,2)</f>
        <v>22188550.420000002</v>
      </c>
      <c r="K36" s="166">
        <f>+'ISR BI'!E34</f>
        <v>3628969.17</v>
      </c>
      <c r="L36" s="216">
        <f t="shared" si="0"/>
        <v>395801872.47000003</v>
      </c>
    </row>
    <row r="37" spans="1:12">
      <c r="A37" s="246">
        <v>43</v>
      </c>
      <c r="B37" s="215" t="s">
        <v>21</v>
      </c>
      <c r="C37" s="166">
        <f>ROUND(+IF('PART 2024'!$F$4&lt;1,'PISO 2021'!$J37*'PART 2024'!$D$4,'PISO 2021'!C37+Copete!C37),2)</f>
        <v>42016668.200000003</v>
      </c>
      <c r="D37" s="166">
        <f>ROUND(+IF('PART 2024'!$F$5&lt;1,'PISO 2021'!$J37*'PART 2024'!$D$5,'PISO 2021'!D37+Copete!D37),2)</f>
        <v>6208033.4800000004</v>
      </c>
      <c r="E37" s="175">
        <f>ROUND(+'PART 2024'!D$11*'Art.14 Frac.III'!R36,2)</f>
        <v>24946651.699999999</v>
      </c>
      <c r="F37" s="166">
        <f>ROUND(+IF('PART 2024'!$F$6&lt;1,'PISO 2021'!$J37*'PART 2024'!$D$6,'PISO 2021'!E37+Copete!E37),2)</f>
        <v>1339102.22</v>
      </c>
      <c r="G37" s="166">
        <f>ROUND(+IF('PART 2024'!$F$7&lt;1,'PISO 2021'!$J37*'PART 2024'!$D$7,'PISO 2021'!F37+Copete!F37),2)</f>
        <v>2374128.4700000002</v>
      </c>
      <c r="H37" s="166">
        <f>ROUND(+IF('PART 2024'!$F$8&lt;1,'PISO 2021'!$J37*'PART 2024'!$D$8,'PISO 2021'!G37+Copete!G37),2)</f>
        <v>1376448.06</v>
      </c>
      <c r="I37" s="166">
        <f>ROUND(+IF('PART 2024'!$F$9&lt;1,'PISO 2021'!$J37*'PART 2024'!$D$9,'PISO 2021'!H37+Copete!H37),2)</f>
        <v>222317.01</v>
      </c>
      <c r="J37" s="166">
        <f>+ROUND('COEF Art 14 F II'!M38,2)</f>
        <v>618300.03</v>
      </c>
      <c r="K37" s="166">
        <f>+'ISR BI'!E35</f>
        <v>21692.67</v>
      </c>
      <c r="L37" s="216">
        <f t="shared" si="0"/>
        <v>79123341.840000018</v>
      </c>
    </row>
    <row r="38" spans="1:12">
      <c r="A38" s="246">
        <v>44</v>
      </c>
      <c r="B38" s="215" t="s">
        <v>22</v>
      </c>
      <c r="C38" s="166">
        <f>ROUND(+IF('PART 2024'!$F$4&lt;1,'PISO 2021'!$J38*'PART 2024'!$D$4,'PISO 2021'!C38+Copete!C38),2)</f>
        <v>142982730.37</v>
      </c>
      <c r="D38" s="166">
        <f>ROUND(+IF('PART 2024'!$F$5&lt;1,'PISO 2021'!$J38*'PART 2024'!$D$5,'PISO 2021'!D38+Copete!D38),2)</f>
        <v>20732153.66</v>
      </c>
      <c r="E38" s="175">
        <f>ROUND(+'PART 2024'!D$11*'Art.14 Frac.III'!R37,2)</f>
        <v>4696329</v>
      </c>
      <c r="F38" s="166">
        <f>ROUND(+IF('PART 2024'!$F$6&lt;1,'PISO 2021'!$J38*'PART 2024'!$D$6,'PISO 2021'!E38+Copete!E38),2)</f>
        <v>4617167.25</v>
      </c>
      <c r="G38" s="166">
        <f>ROUND(+IF('PART 2024'!$F$7&lt;1,'PISO 2021'!$J38*'PART 2024'!$D$7,'PISO 2021'!F38+Copete!F38),2)</f>
        <v>8082784.5700000003</v>
      </c>
      <c r="H38" s="166">
        <f>ROUND(+IF('PART 2024'!$F$8&lt;1,'PISO 2021'!$J38*'PART 2024'!$D$8,'PISO 2021'!G38+Copete!G38),2)</f>
        <v>4510791.67</v>
      </c>
      <c r="I38" s="166">
        <f>ROUND(+IF('PART 2024'!$F$9&lt;1,'PISO 2021'!$J38*'PART 2024'!$D$9,'PISO 2021'!H38+Copete!H38),2)</f>
        <v>780323.37</v>
      </c>
      <c r="J38" s="166">
        <f>+ROUND('COEF Art 14 F II'!M39,2)</f>
        <v>4500814.8499999996</v>
      </c>
      <c r="K38" s="166">
        <f>+'ISR BI'!E36</f>
        <v>490647.97</v>
      </c>
      <c r="L38" s="216">
        <f t="shared" si="0"/>
        <v>191393742.70999998</v>
      </c>
    </row>
    <row r="39" spans="1:12">
      <c r="A39" s="246">
        <v>46</v>
      </c>
      <c r="B39" s="215" t="s">
        <v>139</v>
      </c>
      <c r="C39" s="166">
        <f>ROUND(+IF('PART 2024'!$F$4&lt;1,'PISO 2021'!$J39*'PART 2024'!$D$4,'PISO 2021'!C39+Copete!C39),2)</f>
        <v>30135930.559999999</v>
      </c>
      <c r="D39" s="166">
        <f>ROUND(+IF('PART 2024'!$F$5&lt;1,'PISO 2021'!$J39*'PART 2024'!$D$5,'PISO 2021'!D39+Copete!D39),2)</f>
        <v>4355386.63</v>
      </c>
      <c r="E39" s="175">
        <f>ROUND(+'PART 2024'!D$11*'Art.14 Frac.III'!R38,2)</f>
        <v>19694471.34</v>
      </c>
      <c r="F39" s="166">
        <f>ROUND(+IF('PART 2024'!$F$6&lt;1,'PISO 2021'!$J39*'PART 2024'!$D$6,'PISO 2021'!E39+Copete!E39),2)</f>
        <v>975321.65</v>
      </c>
      <c r="G39" s="166">
        <f>ROUND(+IF('PART 2024'!$F$7&lt;1,'PISO 2021'!$J39*'PART 2024'!$D$7,'PISO 2021'!F39+Copete!F39),2)</f>
        <v>1703709.19</v>
      </c>
      <c r="H39" s="166">
        <f>ROUND(+IF('PART 2024'!$F$8&lt;1,'PISO 2021'!$J39*'PART 2024'!$D$8,'PISO 2021'!G39+Copete!G39),2)</f>
        <v>944452.18</v>
      </c>
      <c r="I39" s="166">
        <f>ROUND(+IF('PART 2024'!$F$9&lt;1,'PISO 2021'!$J39*'PART 2024'!$D$9,'PISO 2021'!H39+Copete!H39),2)</f>
        <v>165326.35999999999</v>
      </c>
      <c r="J39" s="166">
        <f>+ROUND('COEF Art 14 F II'!M40,2)</f>
        <v>427513.53</v>
      </c>
      <c r="K39" s="166">
        <f>+'ISR BI'!E37</f>
        <v>499068.59</v>
      </c>
      <c r="L39" s="216">
        <f t="shared" si="0"/>
        <v>58901180.030000001</v>
      </c>
    </row>
    <row r="40" spans="1:12">
      <c r="A40" s="246">
        <v>49</v>
      </c>
      <c r="B40" s="215" t="s">
        <v>23</v>
      </c>
      <c r="C40" s="166">
        <f>ROUND(+IF('PART 2024'!$F$4&lt;1,'PISO 2021'!$J40*'PART 2024'!$D$4,'PISO 2021'!C40+Copete!C40),2)</f>
        <v>24919517.920000002</v>
      </c>
      <c r="D40" s="166">
        <f>ROUND(+IF('PART 2024'!$F$5&lt;1,'PISO 2021'!$J40*'PART 2024'!$D$5,'PISO 2021'!D40+Copete!D40),2)</f>
        <v>3444423.49</v>
      </c>
      <c r="E40" s="175">
        <f>ROUND(+'PART 2024'!D$11*'Art.14 Frac.III'!R39,2)</f>
        <v>8266495.8200000003</v>
      </c>
      <c r="F40" s="166">
        <f>ROUND(+IF('PART 2024'!$F$6&lt;1,'PISO 2021'!$J40*'PART 2024'!$D$6,'PISO 2021'!E40+Copete!E40),2)</f>
        <v>830509.07</v>
      </c>
      <c r="G40" s="166">
        <f>ROUND(+IF('PART 2024'!$F$7&lt;1,'PISO 2021'!$J40*'PART 2024'!$D$7,'PISO 2021'!F40+Copete!F40),2)</f>
        <v>1410249.53</v>
      </c>
      <c r="H40" s="166">
        <f>ROUND(+IF('PART 2024'!$F$8&lt;1,'PISO 2021'!$J40*'PART 2024'!$D$8,'PISO 2021'!G40+Copete!G40),2)</f>
        <v>711865.33</v>
      </c>
      <c r="I40" s="166">
        <f>ROUND(+IF('PART 2024'!$F$9&lt;1,'PISO 2021'!$J40*'PART 2024'!$D$9,'PISO 2021'!H40+Copete!H40),2)</f>
        <v>146193.17000000001</v>
      </c>
      <c r="J40" s="166">
        <f>+ROUND('COEF Art 14 F II'!M41,2)</f>
        <v>86118.98</v>
      </c>
      <c r="K40" s="166">
        <f>+'ISR BI'!E38</f>
        <v>5978.4</v>
      </c>
      <c r="L40" s="216">
        <f t="shared" si="0"/>
        <v>39821351.710000001</v>
      </c>
    </row>
    <row r="41" spans="1:12">
      <c r="A41" s="246">
        <v>48</v>
      </c>
      <c r="B41" s="215" t="s">
        <v>24</v>
      </c>
      <c r="C41" s="166">
        <f>ROUND(+IF('PART 2024'!$F$4&lt;1,'PISO 2021'!$J41*'PART 2024'!$D$4,'PISO 2021'!C41+Copete!C41),2)</f>
        <v>32791025.75</v>
      </c>
      <c r="D41" s="166">
        <f>ROUND(+IF('PART 2024'!$F$5&lt;1,'PISO 2021'!$J41*'PART 2024'!$D$5,'PISO 2021'!D41+Copete!D41),2)</f>
        <v>4801971.79</v>
      </c>
      <c r="E41" s="175">
        <f>ROUND(+'PART 2024'!D$11*'Art.14 Frac.III'!R40,2)</f>
        <v>1668605.19</v>
      </c>
      <c r="F41" s="166">
        <f>ROUND(+IF('PART 2024'!$F$6&lt;1,'PISO 2021'!$J41*'PART 2024'!$D$6,'PISO 2021'!E41+Copete!E41),2)</f>
        <v>1051641.55</v>
      </c>
      <c r="G41" s="166">
        <f>ROUND(+IF('PART 2024'!$F$7&lt;1,'PISO 2021'!$J41*'PART 2024'!$D$7,'PISO 2021'!F41+Copete!F41),2)</f>
        <v>1853234.11</v>
      </c>
      <c r="H41" s="166">
        <f>ROUND(+IF('PART 2024'!$F$8&lt;1,'PISO 2021'!$J41*'PART 2024'!$D$8,'PISO 2021'!G41+Copete!G41),2)</f>
        <v>1055319.1399999999</v>
      </c>
      <c r="I41" s="166">
        <f>ROUND(+IF('PART 2024'!$F$9&lt;1,'PISO 2021'!$J41*'PART 2024'!$D$9,'PISO 2021'!H41+Copete!H41),2)</f>
        <v>176096.6</v>
      </c>
      <c r="J41" s="166">
        <f>+ROUND('COEF Art 14 F II'!M42,2)</f>
        <v>577056.03</v>
      </c>
      <c r="K41" s="166">
        <f>+'ISR BI'!E39</f>
        <v>186.1</v>
      </c>
      <c r="L41" s="216">
        <f t="shared" si="0"/>
        <v>43975136.259999998</v>
      </c>
    </row>
    <row r="42" spans="1:12">
      <c r="A42" s="246">
        <v>47</v>
      </c>
      <c r="B42" s="215" t="s">
        <v>25</v>
      </c>
      <c r="C42" s="166">
        <f>ROUND(+IF('PART 2024'!$F$4&lt;1,'PISO 2021'!$J42*'PART 2024'!$D$4,'PISO 2021'!C42+Copete!C42),2)</f>
        <v>44529316.07</v>
      </c>
      <c r="D42" s="166">
        <f>ROUND(+IF('PART 2024'!$F$5&lt;1,'PISO 2021'!$J42*'PART 2024'!$D$5,'PISO 2021'!D42+Copete!D42),2)</f>
        <v>6501125.6200000001</v>
      </c>
      <c r="E42" s="175">
        <f>ROUND(+'PART 2024'!D$11*'Art.14 Frac.III'!R41,2)</f>
        <v>2377110.12</v>
      </c>
      <c r="F42" s="166">
        <f>ROUND(+IF('PART 2024'!$F$6&lt;1,'PISO 2021'!$J42*'PART 2024'!$D$6,'PISO 2021'!E42+Copete!E42),2)</f>
        <v>1431130.66</v>
      </c>
      <c r="G42" s="166">
        <f>ROUND(+IF('PART 2024'!$F$7&lt;1,'PISO 2021'!$J42*'PART 2024'!$D$7,'PISO 2021'!F42+Copete!F42),2)</f>
        <v>2516823.69</v>
      </c>
      <c r="H42" s="166">
        <f>ROUND(+IF('PART 2024'!$F$8&lt;1,'PISO 2021'!$J42*'PART 2024'!$D$8,'PISO 2021'!G42+Copete!G42),2)</f>
        <v>1424373.62</v>
      </c>
      <c r="I42" s="166">
        <f>ROUND(+IF('PART 2024'!$F$9&lt;1,'PISO 2021'!$J42*'PART 2024'!$D$9,'PISO 2021'!H42+Copete!H42),2)</f>
        <v>240331.24</v>
      </c>
      <c r="J42" s="166">
        <f>+ROUND('COEF Art 14 F II'!M43,2)</f>
        <v>590503.34</v>
      </c>
      <c r="K42" s="166">
        <f>+'ISR BI'!E40</f>
        <v>10839.94</v>
      </c>
      <c r="L42" s="216">
        <f t="shared" si="0"/>
        <v>59621554.29999999</v>
      </c>
    </row>
    <row r="43" spans="1:12">
      <c r="A43" s="246">
        <v>45</v>
      </c>
      <c r="B43" s="215" t="s">
        <v>26</v>
      </c>
      <c r="C43" s="166">
        <f>ROUND(+IF('PART 2024'!$F$4&lt;1,'PISO 2021'!$J43*'PART 2024'!$D$4,'PISO 2021'!C43+Copete!C43),2)</f>
        <v>102574142.22</v>
      </c>
      <c r="D43" s="166">
        <f>ROUND(+IF('PART 2024'!$F$5&lt;1,'PISO 2021'!$J43*'PART 2024'!$D$5,'PISO 2021'!D43+Copete!D43),2)</f>
        <v>14904690.15</v>
      </c>
      <c r="E43" s="175">
        <f>ROUND(+'PART 2024'!D$11*'Art.14 Frac.III'!R42,2)</f>
        <v>5571900.1399999997</v>
      </c>
      <c r="F43" s="166">
        <f>ROUND(+IF('PART 2024'!$F$6&lt;1,'PISO 2021'!$J43*'PART 2024'!$D$6,'PISO 2021'!E43+Copete!E43),2)</f>
        <v>3307457.88</v>
      </c>
      <c r="G43" s="166">
        <f>ROUND(+IF('PART 2024'!$F$7&lt;1,'PISO 2021'!$J43*'PART 2024'!$D$7,'PISO 2021'!F43+Copete!F43),2)</f>
        <v>5798203.6600000001</v>
      </c>
      <c r="H43" s="166">
        <f>ROUND(+IF('PART 2024'!$F$8&lt;1,'PISO 2021'!$J43*'PART 2024'!$D$8,'PISO 2021'!G43+Copete!G43),2)</f>
        <v>3249930.38</v>
      </c>
      <c r="I43" s="166">
        <f>ROUND(+IF('PART 2024'!$F$9&lt;1,'PISO 2021'!$J43*'PART 2024'!$D$9,'PISO 2021'!H43+Copete!H43),2)</f>
        <v>557881.59999999998</v>
      </c>
      <c r="J43" s="166">
        <f>+ROUND('COEF Art 14 F II'!M44,2)</f>
        <v>3474255</v>
      </c>
      <c r="K43" s="166">
        <f>+'ISR BI'!E41</f>
        <v>1718371.16</v>
      </c>
      <c r="L43" s="216">
        <f t="shared" si="0"/>
        <v>141156832.19</v>
      </c>
    </row>
    <row r="44" spans="1:12">
      <c r="A44" s="246">
        <v>70</v>
      </c>
      <c r="B44" s="215" t="s">
        <v>27</v>
      </c>
      <c r="C44" s="166">
        <f>ROUND(+IF('PART 2024'!$F$4&lt;1,'PISO 2021'!$J44*'PART 2024'!$D$4,'PISO 2021'!C44+Copete!C44),2)</f>
        <v>2380485227.9699998</v>
      </c>
      <c r="D44" s="166">
        <f>ROUND(+IF('PART 2024'!$F$5&lt;1,'PISO 2021'!$J44*'PART 2024'!$D$5,'PISO 2021'!D44+Copete!D44),2)</f>
        <v>355698862.31</v>
      </c>
      <c r="E44" s="175">
        <f>ROUND(+'PART 2024'!D$11*'Art.14 Frac.III'!R43,2)</f>
        <v>0</v>
      </c>
      <c r="F44" s="166">
        <f>ROUND(+IF('PART 2024'!$F$6&lt;1,'PISO 2021'!$J44*'PART 2024'!$D$6,'PISO 2021'!E44+Copete!E44),2)</f>
        <v>75259637.049999997</v>
      </c>
      <c r="G44" s="166">
        <f>ROUND(+IF('PART 2024'!$F$7&lt;1,'PISO 2021'!$J44*'PART 2024'!$D$7,'PISO 2021'!F44+Copete!F44),2)</f>
        <v>134471374.31999999</v>
      </c>
      <c r="H44" s="166">
        <f>ROUND(+IF('PART 2024'!$F$8&lt;1,'PISO 2021'!$J44*'PART 2024'!$D$8,'PISO 2021'!G44+Copete!G44),2)</f>
        <v>79734024.569999993</v>
      </c>
      <c r="I44" s="166">
        <f>ROUND(+IF('PART 2024'!$F$9&lt;1,'PISO 2021'!$J44*'PART 2024'!$D$9,'PISO 2021'!H44+Copete!H44),2)</f>
        <v>12355313.550000001</v>
      </c>
      <c r="J44" s="166">
        <f>+ROUND('COEF Art 14 F II'!M45,2)</f>
        <v>71254162.560000002</v>
      </c>
      <c r="K44" s="166">
        <f>+'ISR BI'!E42</f>
        <v>36221231.5</v>
      </c>
      <c r="L44" s="216">
        <f t="shared" si="0"/>
        <v>3145479833.8300004</v>
      </c>
    </row>
    <row r="45" spans="1:12">
      <c r="A45" s="246">
        <v>50</v>
      </c>
      <c r="B45" s="215" t="s">
        <v>140</v>
      </c>
      <c r="C45" s="166">
        <f>ROUND(+IF('PART 2024'!$F$4&lt;1,'PISO 2021'!$J45*'PART 2024'!$D$4,'PISO 2021'!C45+Copete!C45),2)</f>
        <v>13704085.960000001</v>
      </c>
      <c r="D45" s="166">
        <f>ROUND(+IF('PART 2024'!$F$5&lt;1,'PISO 2021'!$J45*'PART 2024'!$D$5,'PISO 2021'!D45+Copete!D45),2)</f>
        <v>2083629.71</v>
      </c>
      <c r="E45" s="175">
        <f>ROUND(+'PART 2024'!D$11*'Art.14 Frac.III'!R44,2)</f>
        <v>5696422.7699999996</v>
      </c>
      <c r="F45" s="166">
        <f>ROUND(+IF('PART 2024'!$F$6&lt;1,'PISO 2021'!$J45*'PART 2024'!$D$6,'PISO 2021'!E45+Copete!E45),2)</f>
        <v>427765.68</v>
      </c>
      <c r="G45" s="166">
        <f>ROUND(+IF('PART 2024'!$F$7&lt;1,'PISO 2021'!$J45*'PART 2024'!$D$7,'PISO 2021'!F45+Copete!F45),2)</f>
        <v>773800.23</v>
      </c>
      <c r="H45" s="166">
        <f>ROUND(+IF('PART 2024'!$F$8&lt;1,'PISO 2021'!$J45*'PART 2024'!$D$8,'PISO 2021'!G45+Copete!G45),2)</f>
        <v>474823.64</v>
      </c>
      <c r="I45" s="166">
        <f>ROUND(+IF('PART 2024'!$F$9&lt;1,'PISO 2021'!$J45*'PART 2024'!$D$9,'PISO 2021'!H45+Copete!H45),2)</f>
        <v>68958.240000000005</v>
      </c>
      <c r="J45" s="166">
        <f>+ROUND('COEF Art 14 F II'!M46,2)</f>
        <v>217676.88</v>
      </c>
      <c r="K45" s="166">
        <f>+'ISR BI'!E43</f>
        <v>15055.24</v>
      </c>
      <c r="L45" s="216">
        <f t="shared" si="0"/>
        <v>23462218.349999998</v>
      </c>
    </row>
    <row r="46" spans="1:12">
      <c r="A46" s="246">
        <v>51</v>
      </c>
      <c r="B46" s="215" t="s">
        <v>141</v>
      </c>
      <c r="C46" s="166">
        <f>ROUND(+IF('PART 2024'!$F$4&lt;1,'PISO 2021'!$J46*'PART 2024'!$D$4,'PISO 2021'!C46+Copete!C46),2)</f>
        <v>71376637.689999998</v>
      </c>
      <c r="D46" s="166">
        <f>ROUND(+IF('PART 2024'!$F$5&lt;1,'PISO 2021'!$J46*'PART 2024'!$D$5,'PISO 2021'!D46+Copete!D46),2)</f>
        <v>11296558.890000001</v>
      </c>
      <c r="E46" s="175">
        <f>ROUND(+'PART 2024'!D$11*'Art.14 Frac.III'!R45,2)</f>
        <v>6390671.1399999997</v>
      </c>
      <c r="F46" s="166">
        <f>ROUND(+IF('PART 2024'!$F$6&lt;1,'PISO 2021'!$J46*'PART 2024'!$D$6,'PISO 2021'!E46+Copete!E46),2)</f>
        <v>2160083.0699999998</v>
      </c>
      <c r="G46" s="166">
        <f>ROUND(+IF('PART 2024'!$F$7&lt;1,'PISO 2021'!$J46*'PART 2024'!$D$7,'PISO 2021'!F46+Copete!F46),2)</f>
        <v>4026188.32</v>
      </c>
      <c r="H46" s="166">
        <f>ROUND(+IF('PART 2024'!$F$8&lt;1,'PISO 2021'!$J46*'PART 2024'!$D$8,'PISO 2021'!G46+Copete!G46),2)</f>
        <v>2668497.75</v>
      </c>
      <c r="I46" s="166">
        <f>ROUND(+IF('PART 2024'!$F$9&lt;1,'PISO 2021'!$J46*'PART 2024'!$D$9,'PISO 2021'!H46+Copete!H46),2)</f>
        <v>332344.28999999998</v>
      </c>
      <c r="J46" s="166">
        <f>+ROUND('COEF Art 14 F II'!M47,2)</f>
        <v>6615551.0999999996</v>
      </c>
      <c r="K46" s="166">
        <f>+'ISR BI'!E44</f>
        <v>2930184.83</v>
      </c>
      <c r="L46" s="216">
        <f t="shared" si="0"/>
        <v>107796717.07999998</v>
      </c>
    </row>
    <row r="47" spans="1:12">
      <c r="A47" s="246">
        <v>52</v>
      </c>
      <c r="B47" s="215" t="s">
        <v>142</v>
      </c>
      <c r="C47" s="166">
        <f>ROUND(+IF('PART 2024'!$F$4&lt;1,'PISO 2021'!$J47*'PART 2024'!$D$4,'PISO 2021'!C47+Copete!C47),2)</f>
        <v>24040401</v>
      </c>
      <c r="D47" s="166">
        <f>ROUND(+IF('PART 2024'!$F$5&lt;1,'PISO 2021'!$J47*'PART 2024'!$D$5,'PISO 2021'!D47+Copete!D47),2)</f>
        <v>3523167.86</v>
      </c>
      <c r="E47" s="175">
        <f>ROUND(+'PART 2024'!D$11*'Art.14 Frac.III'!R46,2)</f>
        <v>8391305.8699999992</v>
      </c>
      <c r="F47" s="166">
        <f>ROUND(+IF('PART 2024'!$F$6&lt;1,'PISO 2021'!$J47*'PART 2024'!$D$6,'PISO 2021'!E47+Copete!E47),2)</f>
        <v>770594.68</v>
      </c>
      <c r="G47" s="166">
        <f>ROUND(+IF('PART 2024'!$F$7&lt;1,'PISO 2021'!$J47*'PART 2024'!$D$7,'PISO 2021'!F47+Copete!F47),2)</f>
        <v>1358654.99</v>
      </c>
      <c r="H47" s="166">
        <f>ROUND(+IF('PART 2024'!$F$8&lt;1,'PISO 2021'!$J47*'PART 2024'!$D$8,'PISO 2021'!G47+Copete!G47),2)</f>
        <v>774863.14</v>
      </c>
      <c r="I47" s="166">
        <f>ROUND(+IF('PART 2024'!$F$9&lt;1,'PISO 2021'!$J47*'PART 2024'!$D$9,'PISO 2021'!H47+Copete!H47),2)</f>
        <v>128943.26</v>
      </c>
      <c r="J47" s="166">
        <f>+ROUND('COEF Art 14 F II'!M48,2)</f>
        <v>412873.91</v>
      </c>
      <c r="K47" s="166">
        <f>+'ISR BI'!E45</f>
        <v>48248.82</v>
      </c>
      <c r="L47" s="216">
        <f t="shared" si="0"/>
        <v>39449053.529999994</v>
      </c>
    </row>
    <row r="48" spans="1:12">
      <c r="A48" s="246">
        <v>53</v>
      </c>
      <c r="B48" s="215" t="s">
        <v>28</v>
      </c>
      <c r="C48" s="166">
        <f>ROUND(+IF('PART 2024'!$F$4&lt;1,'PISO 2021'!$J48*'PART 2024'!$D$4,'PISO 2021'!C48+Copete!C48),2)</f>
        <v>25861150.010000002</v>
      </c>
      <c r="D48" s="166">
        <f>ROUND(+IF('PART 2024'!$F$5&lt;1,'PISO 2021'!$J48*'PART 2024'!$D$5,'PISO 2021'!D48+Copete!D48),2)</f>
        <v>3750356.68</v>
      </c>
      <c r="E48" s="175">
        <f>ROUND(+'PART 2024'!D$11*'Art.14 Frac.III'!R47,2)</f>
        <v>3451491.88</v>
      </c>
      <c r="F48" s="166">
        <f>ROUND(+IF('PART 2024'!$F$6&lt;1,'PISO 2021'!$J48*'PART 2024'!$D$6,'PISO 2021'!E48+Copete!E48),2)</f>
        <v>835018.27</v>
      </c>
      <c r="G48" s="166">
        <f>ROUND(+IF('PART 2024'!$F$7&lt;1,'PISO 2021'!$J48*'PART 2024'!$D$7,'PISO 2021'!F48+Copete!F48),2)</f>
        <v>1461920.45</v>
      </c>
      <c r="H48" s="166">
        <f>ROUND(+IF('PART 2024'!$F$8&lt;1,'PISO 2021'!$J48*'PART 2024'!$D$8,'PISO 2021'!G48+Copete!G48),2)</f>
        <v>816105.38</v>
      </c>
      <c r="I48" s="166">
        <f>ROUND(+IF('PART 2024'!$F$9&lt;1,'PISO 2021'!$J48*'PART 2024'!$D$9,'PISO 2021'!H48+Copete!H48),2)</f>
        <v>141103.01999999999</v>
      </c>
      <c r="J48" s="166">
        <f>+ROUND('COEF Art 14 F II'!M49,2)</f>
        <v>291859.8</v>
      </c>
      <c r="K48" s="166">
        <f>+'ISR BI'!E46</f>
        <v>3300.63</v>
      </c>
      <c r="L48" s="216">
        <f t="shared" si="0"/>
        <v>36612306.120000012</v>
      </c>
    </row>
    <row r="49" spans="1:12">
      <c r="A49" s="246">
        <v>54</v>
      </c>
      <c r="B49" s="215" t="s">
        <v>29</v>
      </c>
      <c r="C49" s="166">
        <f>ROUND(+IF('PART 2024'!$F$4&lt;1,'PISO 2021'!$J49*'PART 2024'!$D$4,'PISO 2021'!C49+Copete!C49),2)</f>
        <v>72836589.810000002</v>
      </c>
      <c r="D49" s="166">
        <f>ROUND(+IF('PART 2024'!$F$5&lt;1,'PISO 2021'!$J49*'PART 2024'!$D$5,'PISO 2021'!D49+Copete!D49),2)</f>
        <v>10502534.02</v>
      </c>
      <c r="E49" s="175">
        <f>ROUND(+'PART 2024'!D$11*'Art.14 Frac.III'!R48,2)</f>
        <v>6766769.9500000002</v>
      </c>
      <c r="F49" s="166">
        <f>ROUND(+IF('PART 2024'!$F$6&lt;1,'PISO 2021'!$J49*'PART 2024'!$D$6,'PISO 2021'!E49+Copete!E49),2)</f>
        <v>2360981.69</v>
      </c>
      <c r="G49" s="166">
        <f>ROUND(+IF('PART 2024'!$F$7&lt;1,'PISO 2021'!$J49*'PART 2024'!$D$7,'PISO 2021'!F49+Copete!F49),2)</f>
        <v>4117976.96</v>
      </c>
      <c r="H49" s="166">
        <f>ROUND(+IF('PART 2024'!$F$8&lt;1,'PISO 2021'!$J49*'PART 2024'!$D$8,'PISO 2021'!G49+Copete!G49),2)</f>
        <v>2272052.61</v>
      </c>
      <c r="I49" s="166">
        <f>ROUND(+IF('PART 2024'!$F$9&lt;1,'PISO 2021'!$J49*'PART 2024'!$D$9,'PISO 2021'!H49+Copete!H49),2)</f>
        <v>401041.57</v>
      </c>
      <c r="J49" s="166">
        <f>+ROUND('COEF Art 14 F II'!M50,2)</f>
        <v>1950915.11</v>
      </c>
      <c r="K49" s="166">
        <f>+'ISR BI'!E47</f>
        <v>144451.48000000001</v>
      </c>
      <c r="L49" s="216">
        <f t="shared" si="0"/>
        <v>101353313.19999999</v>
      </c>
    </row>
    <row r="50" spans="1:12">
      <c r="A50" s="246">
        <v>55</v>
      </c>
      <c r="B50" s="215" t="s">
        <v>30</v>
      </c>
      <c r="C50" s="166">
        <f>ROUND(+IF('PART 2024'!$F$4&lt;1,'PISO 2021'!$J50*'PART 2024'!$D$4,'PISO 2021'!C50+Copete!C50),2)</f>
        <v>80453168.849999994</v>
      </c>
      <c r="D50" s="166">
        <f>ROUND(+IF('PART 2024'!$F$5&lt;1,'PISO 2021'!$J50*'PART 2024'!$D$5,'PISO 2021'!D50+Copete!D50),2)</f>
        <v>12281315.75</v>
      </c>
      <c r="E50" s="175">
        <f>ROUND(+'PART 2024'!D$11*'Art.14 Frac.III'!R49,2)</f>
        <v>12858157.4</v>
      </c>
      <c r="F50" s="166">
        <f>ROUND(+IF('PART 2024'!$F$6&lt;1,'PISO 2021'!$J50*'PART 2024'!$D$6,'PISO 2021'!E50+Copete!E50),2)</f>
        <v>2503832.58</v>
      </c>
      <c r="G50" s="166">
        <f>ROUND(+IF('PART 2024'!$F$7&lt;1,'PISO 2021'!$J50*'PART 2024'!$D$7,'PISO 2021'!F50+Copete!F50),2)</f>
        <v>4542332.6500000004</v>
      </c>
      <c r="H50" s="166">
        <f>ROUND(+IF('PART 2024'!$F$8&lt;1,'PISO 2021'!$J50*'PART 2024'!$D$8,'PISO 2021'!G50+Copete!G50),2)</f>
        <v>2809065.9</v>
      </c>
      <c r="I50" s="166">
        <f>ROUND(+IF('PART 2024'!$F$9&lt;1,'PISO 2021'!$J50*'PART 2024'!$D$9,'PISO 2021'!H50+Copete!H50),2)</f>
        <v>401885.67</v>
      </c>
      <c r="J50" s="166">
        <f>+ROUND('COEF Art 14 F II'!M51,2)</f>
        <v>4093782.43</v>
      </c>
      <c r="K50" s="166">
        <f>+'ISR BI'!E48</f>
        <v>3117325.41</v>
      </c>
      <c r="L50" s="216">
        <f t="shared" si="0"/>
        <v>123060866.64000002</v>
      </c>
    </row>
    <row r="51" spans="1:12">
      <c r="A51" s="246">
        <v>58</v>
      </c>
      <c r="B51" s="215" t="s">
        <v>143</v>
      </c>
      <c r="C51" s="166">
        <f>ROUND(+IF('PART 2024'!$F$4&lt;1,'PISO 2021'!$J51*'PART 2024'!$D$4,'PISO 2021'!C51+Copete!C51),2)</f>
        <v>627289465.64999998</v>
      </c>
      <c r="D51" s="166">
        <f>ROUND(+IF('PART 2024'!$F$5&lt;1,'PISO 2021'!$J51*'PART 2024'!$D$5,'PISO 2021'!D51+Copete!D51),2)</f>
        <v>92804202.680000007</v>
      </c>
      <c r="E51" s="175">
        <f>ROUND(+'PART 2024'!D$11*'Art.14 Frac.III'!R50,2)</f>
        <v>21494850.809999999</v>
      </c>
      <c r="F51" s="166">
        <f>ROUND(+IF('PART 2024'!$F$6&lt;1,'PISO 2021'!$J51*'PART 2024'!$D$6,'PISO 2021'!E51+Copete!E51),2)</f>
        <v>19973659.98</v>
      </c>
      <c r="G51" s="166">
        <f>ROUND(+IF('PART 2024'!$F$7&lt;1,'PISO 2021'!$J51*'PART 2024'!$D$7,'PISO 2021'!F51+Copete!F51),2)</f>
        <v>35443527.460000001</v>
      </c>
      <c r="H51" s="166">
        <f>ROUND(+IF('PART 2024'!$F$8&lt;1,'PISO 2021'!$J51*'PART 2024'!$D$8,'PISO 2021'!G51+Copete!G51),2)</f>
        <v>20603029.23</v>
      </c>
      <c r="I51" s="166">
        <f>ROUND(+IF('PART 2024'!$F$9&lt;1,'PISO 2021'!$J51*'PART 2024'!$D$9,'PISO 2021'!H51+Copete!H51),2)</f>
        <v>3311775.97</v>
      </c>
      <c r="J51" s="166">
        <f>+ROUND('COEF Art 14 F II'!M52,2)</f>
        <v>23673128.289999999</v>
      </c>
      <c r="K51" s="166">
        <f>+'ISR BI'!E49</f>
        <v>5349403.8</v>
      </c>
      <c r="L51" s="216">
        <f t="shared" si="0"/>
        <v>849943043.86999989</v>
      </c>
    </row>
    <row r="52" spans="1:12">
      <c r="A52" s="246">
        <v>31</v>
      </c>
      <c r="B52" s="215" t="s">
        <v>144</v>
      </c>
      <c r="C52" s="166">
        <f>ROUND(+IF('PART 2024'!$F$4&lt;1,'PISO 2021'!$J52*'PART 2024'!$D$4,'PISO 2021'!C52+Copete!C52),2)</f>
        <v>1246526291.7</v>
      </c>
      <c r="D52" s="166">
        <f>ROUND(+IF('PART 2024'!$F$5&lt;1,'PISO 2021'!$J52*'PART 2024'!$D$5,'PISO 2021'!D52+Copete!D52),2)</f>
        <v>185635909.87</v>
      </c>
      <c r="E52" s="175">
        <f>ROUND(+'PART 2024'!D$11*'Art.14 Frac.III'!R51,2)</f>
        <v>42908004.590000004</v>
      </c>
      <c r="F52" s="166">
        <f>ROUND(+IF('PART 2024'!$F$6&lt;1,'PISO 2021'!$J52*'PART 2024'!$D$6,'PISO 2021'!E52+Copete!E52),2)</f>
        <v>39504575.600000001</v>
      </c>
      <c r="G52" s="166">
        <f>ROUND(+IF('PART 2024'!$F$7&lt;1,'PISO 2021'!$J52*'PART 2024'!$D$7,'PISO 2021'!F52+Copete!F52),2)</f>
        <v>70420839.510000005</v>
      </c>
      <c r="H52" s="166">
        <f>ROUND(+IF('PART 2024'!$F$8&lt;1,'PISO 2021'!$J52*'PART 2024'!$D$8,'PISO 2021'!G52+Copete!G52),2)</f>
        <v>41477854.259999998</v>
      </c>
      <c r="I52" s="166">
        <f>ROUND(+IF('PART 2024'!$F$9&lt;1,'PISO 2021'!$J52*'PART 2024'!$D$9,'PISO 2021'!H52+Copete!H52),2)</f>
        <v>6507438.25</v>
      </c>
      <c r="J52" s="166">
        <f>+ROUND('COEF Art 14 F II'!M53,2)</f>
        <v>18323073.559999999</v>
      </c>
      <c r="K52" s="166">
        <f>+'ISR BI'!E50</f>
        <v>22611948.899999999</v>
      </c>
      <c r="L52" s="216">
        <f t="shared" si="0"/>
        <v>1673915936.24</v>
      </c>
    </row>
    <row r="53" spans="1:12">
      <c r="A53" s="246">
        <v>57</v>
      </c>
      <c r="B53" s="215" t="s">
        <v>31</v>
      </c>
      <c r="C53" s="166">
        <f>ROUND(+IF('PART 2024'!$F$4&lt;1,'PISO 2021'!$J53*'PART 2024'!$D$4,'PISO 2021'!C53+Copete!C53),2)</f>
        <v>365648355.61000001</v>
      </c>
      <c r="D53" s="166">
        <f>ROUND(+IF('PART 2024'!$F$5&lt;1,'PISO 2021'!$J53*'PART 2024'!$D$5,'PISO 2021'!D53+Copete!D53),2)</f>
        <v>55477094.219999999</v>
      </c>
      <c r="E53" s="175">
        <f>ROUND(+'PART 2024'!D$11*'Art.14 Frac.III'!R52,2)</f>
        <v>23279570.719999999</v>
      </c>
      <c r="F53" s="166">
        <f>ROUND(+IF('PART 2024'!$F$6&lt;1,'PISO 2021'!$J53*'PART 2024'!$D$6,'PISO 2021'!E53+Copete!E53),2)</f>
        <v>11431510.42</v>
      </c>
      <c r="G53" s="166">
        <f>ROUND(+IF('PART 2024'!$F$7&lt;1,'PISO 2021'!$J53*'PART 2024'!$D$7,'PISO 2021'!F53+Copete!F53),2)</f>
        <v>20647391.640000001</v>
      </c>
      <c r="H53" s="166">
        <f>ROUND(+IF('PART 2024'!$F$8&lt;1,'PISO 2021'!$J53*'PART 2024'!$D$8,'PISO 2021'!G53+Copete!G53),2)</f>
        <v>12617318.75</v>
      </c>
      <c r="I53" s="166">
        <f>ROUND(+IF('PART 2024'!$F$9&lt;1,'PISO 2021'!$J53*'PART 2024'!$D$9,'PISO 2021'!H53+Copete!H53),2)</f>
        <v>1847030.29</v>
      </c>
      <c r="J53" s="166">
        <f>+ROUND('COEF Art 14 F II'!M54,2)</f>
        <v>17262342.129999999</v>
      </c>
      <c r="K53" s="166">
        <f>+'ISR BI'!E51</f>
        <v>8870864.9299999997</v>
      </c>
      <c r="L53" s="216">
        <f t="shared" si="0"/>
        <v>517081478.7100001</v>
      </c>
    </row>
    <row r="54" spans="1:12">
      <c r="A54" s="246">
        <v>56</v>
      </c>
      <c r="B54" s="215" t="s">
        <v>32</v>
      </c>
      <c r="C54" s="166">
        <f>ROUND(+IF('PART 2024'!$F$4&lt;1,'PISO 2021'!$J54*'PART 2024'!$D$4,'PISO 2021'!C54+Copete!C54),2)</f>
        <v>118162322.90000001</v>
      </c>
      <c r="D54" s="166">
        <f>ROUND(+IF('PART 2024'!$F$5&lt;1,'PISO 2021'!$J54*'PART 2024'!$D$5,'PISO 2021'!D54+Copete!D54),2)</f>
        <v>17924138.739999998</v>
      </c>
      <c r="E54" s="175">
        <f>ROUND(+'PART 2024'!D$11*'Art.14 Frac.III'!R53,2)</f>
        <v>12666878.4</v>
      </c>
      <c r="F54" s="166">
        <f>ROUND(+IF('PART 2024'!$F$6&lt;1,'PISO 2021'!$J54*'PART 2024'!$D$6,'PISO 2021'!E54+Copete!E54),2)</f>
        <v>3694761.16</v>
      </c>
      <c r="G54" s="166">
        <f>ROUND(+IF('PART 2024'!$F$7&lt;1,'PISO 2021'!$J54*'PART 2024'!$D$7,'PISO 2021'!F54+Copete!F54),2)</f>
        <v>6672411.7199999997</v>
      </c>
      <c r="H54" s="166">
        <f>ROUND(+IF('PART 2024'!$F$8&lt;1,'PISO 2021'!$J54*'PART 2024'!$D$8,'PISO 2021'!G54+Copete!G54),2)</f>
        <v>4075742.93</v>
      </c>
      <c r="I54" s="166">
        <f>ROUND(+IF('PART 2024'!$F$9&lt;1,'PISO 2021'!$J54*'PART 2024'!$D$9,'PISO 2021'!H54+Copete!H54),2)</f>
        <v>597109.6</v>
      </c>
      <c r="J54" s="166">
        <f>+ROUND('COEF Art 14 F II'!M55,2)</f>
        <v>3384354.64</v>
      </c>
      <c r="K54" s="166">
        <f>+'ISR BI'!E52</f>
        <v>5782278.7199999997</v>
      </c>
      <c r="L54" s="216">
        <f t="shared" si="0"/>
        <v>172959998.81</v>
      </c>
    </row>
    <row r="55" spans="1:12">
      <c r="A55" s="246">
        <v>59</v>
      </c>
      <c r="B55" s="215" t="s">
        <v>33</v>
      </c>
      <c r="C55" s="166">
        <f>ROUND(+IF('PART 2024'!$F$4&lt;1,'PISO 2021'!$J55*'PART 2024'!$D$4,'PISO 2021'!C55+Copete!C55),2)</f>
        <v>23156875.510000002</v>
      </c>
      <c r="D55" s="166">
        <f>ROUND(+IF('PART 2024'!$F$5&lt;1,'PISO 2021'!$J55*'PART 2024'!$D$5,'PISO 2021'!D55+Copete!D55),2)</f>
        <v>3492417.03</v>
      </c>
      <c r="E55" s="175">
        <f>ROUND(+'PART 2024'!D$11*'Art.14 Frac.III'!R54,2)</f>
        <v>5917443.96</v>
      </c>
      <c r="F55" s="166">
        <f>ROUND(+IF('PART 2024'!$F$6&lt;1,'PISO 2021'!$J55*'PART 2024'!$D$6,'PISO 2021'!E55+Copete!E55),2)</f>
        <v>727179.88</v>
      </c>
      <c r="G55" s="166">
        <f>ROUND(+IF('PART 2024'!$F$7&lt;1,'PISO 2021'!$J55*'PART 2024'!$D$7,'PISO 2021'!F55+Copete!F55),2)</f>
        <v>1307813.26</v>
      </c>
      <c r="H55" s="166">
        <f>ROUND(+IF('PART 2024'!$F$8&lt;1,'PISO 2021'!$J55*'PART 2024'!$D$8,'PISO 2021'!G55+Copete!G55),2)</f>
        <v>789826.41</v>
      </c>
      <c r="I55" s="166">
        <f>ROUND(+IF('PART 2024'!$F$9&lt;1,'PISO 2021'!$J55*'PART 2024'!$D$9,'PISO 2021'!H55+Copete!H55),2)</f>
        <v>118242.52</v>
      </c>
      <c r="J55" s="166">
        <f>+ROUND('COEF Art 14 F II'!M56,2)</f>
        <v>347001.66</v>
      </c>
      <c r="K55" s="166">
        <f>+'ISR BI'!E53</f>
        <v>94283.99</v>
      </c>
      <c r="L55" s="216">
        <f t="shared" si="0"/>
        <v>35951084.219999999</v>
      </c>
    </row>
    <row r="56" spans="1:12" ht="13.5" thickBot="1">
      <c r="A56" s="246">
        <v>60</v>
      </c>
      <c r="B56" s="215" t="s">
        <v>34</v>
      </c>
      <c r="C56" s="166">
        <f>ROUND(+IF('PART 2024'!$F$4&lt;1,'PISO 2021'!$J56*'PART 2024'!$D$4,'PISO 2021'!C56+Copete!C56),2)</f>
        <v>27865706.68</v>
      </c>
      <c r="D56" s="166">
        <f>ROUND(+IF('PART 2024'!$F$5&lt;1,'PISO 2021'!$J56*'PART 2024'!$D$5,'PISO 2021'!D56+Copete!D56),2)</f>
        <v>4088861.58</v>
      </c>
      <c r="E56" s="175">
        <f>ROUND(+'PART 2024'!D$11*'Art.14 Frac.III'!R55,2)</f>
        <v>8170428.6200000001</v>
      </c>
      <c r="F56" s="166">
        <f>ROUND(+IF('PART 2024'!$F$6&lt;1,'PISO 2021'!$J56*'PART 2024'!$D$6,'PISO 2021'!E56+Copete!E56),2)</f>
        <v>892433.8</v>
      </c>
      <c r="G56" s="166">
        <f>ROUND(+IF('PART 2024'!$F$7&lt;1,'PISO 2021'!$J56*'PART 2024'!$D$7,'PISO 2021'!F56+Copete!F56),2)</f>
        <v>1574797.17</v>
      </c>
      <c r="H56" s="166">
        <f>ROUND(+IF('PART 2024'!$F$8&lt;1,'PISO 2021'!$J56*'PART 2024'!$D$8,'PISO 2021'!G56+Copete!G56),2)</f>
        <v>900397.78</v>
      </c>
      <c r="I56" s="166">
        <f>ROUND(+IF('PART 2024'!$F$9&lt;1,'PISO 2021'!$J56*'PART 2024'!$D$9,'PISO 2021'!H56+Copete!H56),2)</f>
        <v>149153.48000000001</v>
      </c>
      <c r="J56" s="166">
        <f>+ROUND('COEF Art 14 F II'!M57,2)</f>
        <v>401578.2</v>
      </c>
      <c r="K56" s="166">
        <f>+'ISR BI'!E54</f>
        <v>10171.040000000001</v>
      </c>
      <c r="L56" s="216">
        <f t="shared" si="0"/>
        <v>44053528.349999994</v>
      </c>
    </row>
    <row r="57" spans="1:12" ht="14.25" thickTop="1" thickBot="1">
      <c r="B57" s="217" t="s">
        <v>35</v>
      </c>
      <c r="C57" s="224">
        <f t="shared" ref="C57:K57" si="1">SUM(C6:C56)</f>
        <v>9087324812.6099987</v>
      </c>
      <c r="D57" s="224">
        <f t="shared" si="1"/>
        <v>1358543085.9999998</v>
      </c>
      <c r="E57" s="224">
        <f t="shared" si="1"/>
        <v>501189553.00999981</v>
      </c>
      <c r="F57" s="224">
        <f t="shared" si="1"/>
        <v>287192684.7700001</v>
      </c>
      <c r="G57" s="224">
        <f t="shared" si="1"/>
        <v>513328097.75999993</v>
      </c>
      <c r="H57" s="224">
        <f t="shared" si="1"/>
        <v>304681936.19999999</v>
      </c>
      <c r="I57" s="224">
        <f t="shared" si="1"/>
        <v>47123870.460000016</v>
      </c>
      <c r="J57" s="224">
        <f t="shared" si="1"/>
        <v>328091056.19</v>
      </c>
      <c r="K57" s="224">
        <f t="shared" si="1"/>
        <v>145638708.84</v>
      </c>
      <c r="L57" s="225">
        <f t="shared" si="0"/>
        <v>12573113805.84</v>
      </c>
    </row>
    <row r="58" spans="1:12" ht="16.5" customHeight="1">
      <c r="B58" s="93" t="s">
        <v>153</v>
      </c>
      <c r="C58" s="169"/>
      <c r="D58" s="172"/>
      <c r="E58" s="172"/>
      <c r="F58" s="153"/>
      <c r="K58" s="166"/>
    </row>
    <row r="59" spans="1:12">
      <c r="B59" s="258" t="s">
        <v>208</v>
      </c>
      <c r="C59" s="170"/>
    </row>
    <row r="60" spans="1:12">
      <c r="B60" s="98"/>
      <c r="C60" s="170"/>
    </row>
    <row r="61" spans="1:12" ht="16.5" customHeight="1"/>
  </sheetData>
  <mergeCells count="4">
    <mergeCell ref="B1:L1"/>
    <mergeCell ref="B2:L2"/>
    <mergeCell ref="B3:L3"/>
    <mergeCell ref="B4:L4"/>
  </mergeCells>
  <printOptions horizontalCentered="1"/>
  <pageMargins left="0.19685039370078741" right="0.19685039370078741" top="0.35433070866141736" bottom="0.15748031496062992" header="0.35433070866141736" footer="0.15748031496062992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7"/>
  <sheetViews>
    <sheetView showGridLines="0" topLeftCell="O1" zoomScaleNormal="100" workbookViewId="0">
      <selection activeCell="U3" sqref="U3:Z3"/>
    </sheetView>
  </sheetViews>
  <sheetFormatPr baseColWidth="10" defaultColWidth="9.7109375" defaultRowHeight="12.75"/>
  <cols>
    <col min="1" max="1" width="3" style="11" bestFit="1" customWidth="1"/>
    <col min="2" max="2" width="28.85546875" style="11" customWidth="1"/>
    <col min="3" max="7" width="15.7109375" style="11" customWidth="1"/>
    <col min="8" max="8" width="12.42578125" style="11" customWidth="1"/>
    <col min="9" max="9" width="15.42578125" style="11" customWidth="1"/>
    <col min="10" max="10" width="12.5703125" style="48" customWidth="1"/>
    <col min="11" max="11" width="12.28515625" style="11" customWidth="1"/>
    <col min="12" max="12" width="15.5703125" style="11" customWidth="1"/>
    <col min="13" max="13" width="12" style="48" customWidth="1"/>
    <col min="14" max="14" width="17.7109375" style="50" customWidth="1"/>
    <col min="15" max="15" width="18" style="11" customWidth="1"/>
    <col min="16" max="16" width="16.140625" style="11" customWidth="1"/>
    <col min="17" max="17" width="14.140625" style="11" customWidth="1"/>
    <col min="18" max="18" width="15.5703125" style="11" customWidth="1"/>
    <col min="19" max="19" width="16.140625" style="11" customWidth="1"/>
    <col min="20" max="20" width="13.140625" style="11" customWidth="1"/>
    <col min="21" max="21" width="14" style="11" customWidth="1"/>
    <col min="22" max="22" width="12.85546875" style="11" customWidth="1"/>
    <col min="23" max="23" width="14.42578125" style="11" customWidth="1"/>
    <col min="24" max="24" width="16.85546875" style="11" customWidth="1"/>
    <col min="25" max="25" width="14.140625" style="48" customWidth="1"/>
    <col min="26" max="26" width="16.85546875" style="11" customWidth="1"/>
    <col min="27" max="27" width="3.7109375" style="11" customWidth="1"/>
    <col min="28" max="30" width="18.42578125" style="11" customWidth="1"/>
    <col min="31" max="31" width="20.140625" style="11" customWidth="1"/>
    <col min="32" max="32" width="16.140625" style="11" bestFit="1" customWidth="1"/>
    <col min="33" max="33" width="13.140625" style="229" bestFit="1" customWidth="1"/>
    <col min="34" max="34" width="13" style="11" customWidth="1"/>
    <col min="35" max="35" width="11.140625" style="11" bestFit="1" customWidth="1"/>
    <col min="36" max="39" width="9.7109375" style="11"/>
    <col min="40" max="40" width="12.140625" style="11" customWidth="1"/>
    <col min="41" max="16384" width="9.7109375" style="11"/>
  </cols>
  <sheetData>
    <row r="1" spans="1:40" ht="33" customHeight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40" ht="26.2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40" ht="18.75" thickBot="1">
      <c r="C3" s="263" t="s">
        <v>80</v>
      </c>
      <c r="D3" s="263"/>
      <c r="E3" s="263"/>
      <c r="F3" s="263"/>
      <c r="G3" s="263"/>
      <c r="H3" s="264" t="s">
        <v>43</v>
      </c>
      <c r="I3" s="264"/>
      <c r="J3" s="264"/>
      <c r="K3" s="264"/>
      <c r="L3" s="264"/>
      <c r="M3" s="264"/>
      <c r="N3" s="264"/>
      <c r="O3" s="264" t="s">
        <v>70</v>
      </c>
      <c r="P3" s="264"/>
      <c r="Q3" s="264"/>
      <c r="R3" s="264"/>
      <c r="S3" s="264"/>
      <c r="T3" s="264"/>
      <c r="U3" s="264" t="s">
        <v>70</v>
      </c>
      <c r="V3" s="264"/>
      <c r="W3" s="264"/>
      <c r="X3" s="264"/>
      <c r="Y3" s="264"/>
      <c r="Z3" s="264"/>
      <c r="AB3" s="263" t="s">
        <v>92</v>
      </c>
      <c r="AC3" s="263"/>
      <c r="AD3" s="263"/>
      <c r="AE3" s="263"/>
      <c r="AF3" s="263"/>
    </row>
    <row r="4" spans="1:40" ht="64.5" thickBot="1">
      <c r="B4" s="8" t="s">
        <v>0</v>
      </c>
      <c r="C4" s="8" t="s">
        <v>199</v>
      </c>
      <c r="D4" s="8" t="s">
        <v>200</v>
      </c>
      <c r="E4" s="9" t="s">
        <v>90</v>
      </c>
      <c r="F4" s="12" t="s">
        <v>91</v>
      </c>
      <c r="G4" s="81" t="s">
        <v>60</v>
      </c>
      <c r="H4" s="8" t="s">
        <v>148</v>
      </c>
      <c r="I4" s="9" t="s">
        <v>56</v>
      </c>
      <c r="J4" s="10">
        <v>0.85</v>
      </c>
      <c r="K4" s="8" t="s">
        <v>41</v>
      </c>
      <c r="L4" s="9" t="s">
        <v>57</v>
      </c>
      <c r="M4" s="10">
        <v>0.15</v>
      </c>
      <c r="N4" s="76" t="s">
        <v>58</v>
      </c>
      <c r="O4" s="180" t="s">
        <v>191</v>
      </c>
      <c r="P4" s="180" t="s">
        <v>192</v>
      </c>
      <c r="Q4" s="180" t="s">
        <v>197</v>
      </c>
      <c r="R4" s="8" t="s">
        <v>196</v>
      </c>
      <c r="S4" s="181" t="s">
        <v>162</v>
      </c>
      <c r="T4" s="181" t="s">
        <v>163</v>
      </c>
      <c r="U4" s="8" t="s">
        <v>164</v>
      </c>
      <c r="V4" s="180" t="s">
        <v>165</v>
      </c>
      <c r="W4" s="182" t="s">
        <v>166</v>
      </c>
      <c r="X4" s="181" t="s">
        <v>167</v>
      </c>
      <c r="Y4" s="8" t="s">
        <v>168</v>
      </c>
      <c r="Z4" s="183" t="s">
        <v>59</v>
      </c>
      <c r="AB4" s="83" t="s">
        <v>73</v>
      </c>
      <c r="AC4" s="83" t="s">
        <v>71</v>
      </c>
      <c r="AD4" s="83" t="s">
        <v>72</v>
      </c>
      <c r="AE4" s="83" t="s">
        <v>213</v>
      </c>
      <c r="AF4" s="83" t="s">
        <v>61</v>
      </c>
    </row>
    <row r="5" spans="1:40" s="14" customFormat="1" ht="22.5">
      <c r="B5" s="20"/>
      <c r="C5" s="66" t="s">
        <v>128</v>
      </c>
      <c r="D5" s="59" t="s">
        <v>129</v>
      </c>
      <c r="E5" s="59" t="s">
        <v>37</v>
      </c>
      <c r="F5" s="59" t="s">
        <v>38</v>
      </c>
      <c r="G5" s="67" t="s">
        <v>51</v>
      </c>
      <c r="H5" s="20" t="s">
        <v>40</v>
      </c>
      <c r="I5" s="59" t="s">
        <v>49</v>
      </c>
      <c r="J5" s="63" t="s">
        <v>52</v>
      </c>
      <c r="K5" s="13" t="s">
        <v>42</v>
      </c>
      <c r="L5" s="59" t="s">
        <v>53</v>
      </c>
      <c r="M5" s="63" t="s">
        <v>54</v>
      </c>
      <c r="N5" s="64" t="s">
        <v>44</v>
      </c>
      <c r="O5" s="13" t="s">
        <v>169</v>
      </c>
      <c r="P5" s="13" t="s">
        <v>170</v>
      </c>
      <c r="Q5" s="13" t="s">
        <v>171</v>
      </c>
      <c r="R5" s="13" t="s">
        <v>172</v>
      </c>
      <c r="S5" s="20" t="s">
        <v>173</v>
      </c>
      <c r="T5" s="20" t="s">
        <v>174</v>
      </c>
      <c r="U5" s="13" t="s">
        <v>175</v>
      </c>
      <c r="V5" s="13" t="s">
        <v>176</v>
      </c>
      <c r="W5" s="13" t="s">
        <v>177</v>
      </c>
      <c r="X5" s="13" t="s">
        <v>178</v>
      </c>
      <c r="Y5" s="59" t="s">
        <v>179</v>
      </c>
      <c r="Z5" s="204" t="s">
        <v>180</v>
      </c>
      <c r="AB5" s="13">
        <f>+AE5*0.5</f>
        <v>5799097243.8999996</v>
      </c>
      <c r="AC5" s="13">
        <f>+AE5*0.25</f>
        <v>2899548621.9499998</v>
      </c>
      <c r="AD5" s="13">
        <f>+AE5*0.25</f>
        <v>2899548621.9499998</v>
      </c>
      <c r="AE5" s="13">
        <f>+'PART 2024'!D10</f>
        <v>11598194487.799999</v>
      </c>
      <c r="AG5" s="230"/>
      <c r="AI5" s="14">
        <v>100000000</v>
      </c>
    </row>
    <row r="6" spans="1:40" s="16" customFormat="1" ht="23.25" customHeight="1" thickBot="1">
      <c r="B6" s="15"/>
      <c r="G6" s="19"/>
      <c r="H6" s="15"/>
      <c r="J6" s="17"/>
      <c r="M6" s="17"/>
      <c r="N6" s="18"/>
      <c r="O6" s="184"/>
      <c r="P6" s="184"/>
      <c r="Q6" s="184"/>
      <c r="R6" s="184"/>
      <c r="S6" s="185"/>
      <c r="T6" s="185"/>
      <c r="U6" s="184"/>
      <c r="V6" s="184"/>
      <c r="W6" s="184"/>
      <c r="X6" s="186"/>
      <c r="Y6" s="11"/>
      <c r="Z6" s="187"/>
      <c r="AB6" s="13" t="s">
        <v>81</v>
      </c>
      <c r="AC6" s="13" t="s">
        <v>82</v>
      </c>
      <c r="AD6" s="13" t="s">
        <v>48</v>
      </c>
      <c r="AE6" s="20" t="s">
        <v>83</v>
      </c>
      <c r="AF6" s="20" t="s">
        <v>46</v>
      </c>
      <c r="AG6" s="231"/>
    </row>
    <row r="7" spans="1:40" ht="13.5" thickTop="1">
      <c r="A7" s="246">
        <v>15</v>
      </c>
      <c r="B7" s="2" t="s">
        <v>1</v>
      </c>
      <c r="C7" s="23">
        <v>685947</v>
      </c>
      <c r="D7" s="23">
        <v>215240.1</v>
      </c>
      <c r="E7" s="25">
        <f t="shared" ref="E7:E38" si="0">+D7/C7</f>
        <v>0.31378532160647982</v>
      </c>
      <c r="F7" s="26">
        <f>+E7*D7</f>
        <v>67539.184001110872</v>
      </c>
      <c r="G7" s="77">
        <f t="shared" ref="G7:G38" si="1">+F7/F$58</f>
        <v>2.6513843532537862E-5</v>
      </c>
      <c r="H7" s="21">
        <v>2974</v>
      </c>
      <c r="I7" s="71">
        <f t="shared" ref="I7:I38" si="2">+H7/$H$58</f>
        <v>5.141377508841821E-4</v>
      </c>
      <c r="J7" s="22">
        <f>+I7*J$4</f>
        <v>4.3701708825155477E-4</v>
      </c>
      <c r="K7" s="23">
        <v>46.9</v>
      </c>
      <c r="L7" s="68">
        <f t="shared" ref="L7:L38" si="3">+K7/$K$58</f>
        <v>7.3102605507790314E-4</v>
      </c>
      <c r="M7" s="24">
        <f>+L7*M$4</f>
        <v>1.0965390826168547E-4</v>
      </c>
      <c r="N7" s="77">
        <f>+M7+J7</f>
        <v>5.4667099651324028E-4</v>
      </c>
      <c r="O7" s="188">
        <v>296</v>
      </c>
      <c r="P7" s="188">
        <v>291</v>
      </c>
      <c r="Q7" s="189">
        <v>1.7570912812999999</v>
      </c>
      <c r="R7" s="190">
        <f>+P7/P$58</f>
        <v>2.7055597858981759E-4</v>
      </c>
      <c r="S7" s="191">
        <f t="shared" ref="S7:S57" si="4">+Q7*R7</f>
        <v>4.7539155108375792E-4</v>
      </c>
      <c r="T7" s="191">
        <f>+S7/S$58</f>
        <v>2.4656536212427173E-4</v>
      </c>
      <c r="U7" s="188">
        <f>+AD$5*0.85*T7</f>
        <v>607689.0175728295</v>
      </c>
      <c r="V7" s="190">
        <f t="shared" ref="V7:V57" si="5">+O7/P7</f>
        <v>1.0171821305841924</v>
      </c>
      <c r="W7" s="190">
        <f>+V7/V$58</f>
        <v>1.351657209931304E-2</v>
      </c>
      <c r="X7" s="188">
        <f>AD$5*0.15*W7</f>
        <v>5878793.7006076407</v>
      </c>
      <c r="Y7" s="23">
        <f t="shared" ref="Y7:Y57" si="6">+X7+U7</f>
        <v>6486482.7181804702</v>
      </c>
      <c r="Z7" s="192">
        <f>+Y7/Y$58</f>
        <v>2.2370663727025869E-3</v>
      </c>
      <c r="AB7" s="27">
        <f t="shared" ref="AB7:AB38" si="7">+G7*AB$5</f>
        <v>153756.35695473614</v>
      </c>
      <c r="AC7" s="28">
        <f t="shared" ref="AC7:AC38" si="8">+N7*AC$5</f>
        <v>1585099.1345999991</v>
      </c>
      <c r="AD7" s="28">
        <f>+Z7*AD$5</f>
        <v>6486482.7181804702</v>
      </c>
      <c r="AE7" s="28">
        <f>SUM(AB7:AD7)</f>
        <v>8225338.2097352054</v>
      </c>
      <c r="AF7" s="29">
        <f>+AE7/AE$58</f>
        <v>7.0919126407022551E-4</v>
      </c>
      <c r="AH7" s="228"/>
      <c r="AL7" s="11">
        <f>+AE$58/AE7</f>
        <v>1410.0568501940515</v>
      </c>
      <c r="AM7" s="105">
        <f>+AL7/AL$58</f>
        <v>6.9972467543202049E-2</v>
      </c>
      <c r="AN7" s="11">
        <f>+AI$5*AM7</f>
        <v>6997246.7543202052</v>
      </c>
    </row>
    <row r="8" spans="1:40">
      <c r="A8" s="246">
        <v>11</v>
      </c>
      <c r="B8" s="4" t="s">
        <v>2</v>
      </c>
      <c r="C8" s="32">
        <v>2702829</v>
      </c>
      <c r="D8" s="32">
        <v>825718</v>
      </c>
      <c r="E8" s="34">
        <f t="shared" si="0"/>
        <v>0.30550138392032938</v>
      </c>
      <c r="F8" s="35">
        <f t="shared" ref="F8:F57" si="9">+E8*D8</f>
        <v>252257.99172792654</v>
      </c>
      <c r="G8" s="78">
        <f t="shared" si="1"/>
        <v>9.9028867781352908E-5</v>
      </c>
      <c r="H8" s="30">
        <v>3382</v>
      </c>
      <c r="I8" s="72">
        <f t="shared" si="2"/>
        <v>5.8467177992276519E-4</v>
      </c>
      <c r="J8" s="31">
        <f t="shared" ref="J8:J57" si="10">+I8*J$4</f>
        <v>4.9697101293435045E-4</v>
      </c>
      <c r="K8" s="32">
        <v>980.9</v>
      </c>
      <c r="L8" s="69">
        <f t="shared" si="3"/>
        <v>1.528919951867623E-2</v>
      </c>
      <c r="M8" s="33">
        <f t="shared" ref="M8:M57" si="11">+L8*M$4</f>
        <v>2.2933799278014345E-3</v>
      </c>
      <c r="N8" s="78">
        <f t="shared" ref="N8:N57" si="12">+M8+J8</f>
        <v>2.7903509407357849E-3</v>
      </c>
      <c r="O8" s="193">
        <v>250</v>
      </c>
      <c r="P8" s="193">
        <v>278</v>
      </c>
      <c r="Q8" s="194">
        <v>1.7189329948000001</v>
      </c>
      <c r="R8" s="195">
        <f t="shared" ref="R8:R57" si="13">+P8/P$58</f>
        <v>2.5846928538821062E-4</v>
      </c>
      <c r="S8" s="196">
        <f t="shared" si="4"/>
        <v>4.4429138279617278E-4</v>
      </c>
      <c r="T8" s="196">
        <f t="shared" ref="T8:T57" si="14">+S8/S$58</f>
        <v>2.3043502863712235E-4</v>
      </c>
      <c r="U8" s="193">
        <f t="shared" ref="U8:U57" si="15">+AD$5*0.85*T8</f>
        <v>567933.93427371036</v>
      </c>
      <c r="V8" s="195">
        <f t="shared" si="5"/>
        <v>0.89928057553956831</v>
      </c>
      <c r="W8" s="195">
        <f t="shared" ref="W8:W57" si="16">+V8/V$58</f>
        <v>1.1949866568941082E-2</v>
      </c>
      <c r="X8" s="193">
        <f t="shared" ref="X8:X57" si="17">AD$5*0.15*W8</f>
        <v>5197382.8713689223</v>
      </c>
      <c r="Y8" s="32">
        <f t="shared" si="6"/>
        <v>5765316.8056426328</v>
      </c>
      <c r="Z8" s="197">
        <f t="shared" ref="Z8:Z57" si="18">+Y8/Y$58</f>
        <v>1.988349759682716E-3</v>
      </c>
      <c r="AB8" s="36">
        <f t="shared" si="7"/>
        <v>574278.03421738115</v>
      </c>
      <c r="AC8" s="37">
        <f t="shared" si="8"/>
        <v>8090758.2249673307</v>
      </c>
      <c r="AD8" s="37">
        <f t="shared" ref="AD8:AD57" si="19">+Z8*AD$5</f>
        <v>5765316.8056426328</v>
      </c>
      <c r="AE8" s="37">
        <f t="shared" ref="AE8:AE57" si="20">SUM(AB8:AD8)</f>
        <v>14430353.064827345</v>
      </c>
      <c r="AF8" s="38">
        <f t="shared" ref="AF8:AF57" si="21">+AE8/AE$58</f>
        <v>1.2441896089953014E-3</v>
      </c>
      <c r="AH8" s="228"/>
      <c r="AL8" s="11">
        <f t="shared" ref="AL8:AL57" si="22">+AE$58/AE8</f>
        <v>803.73601641594848</v>
      </c>
      <c r="AM8" s="105">
        <f t="shared" ref="AM8:AM57" si="23">+AL8/AL$58</f>
        <v>3.9884485731357437E-2</v>
      </c>
      <c r="AN8" s="11">
        <f t="shared" ref="AN8:AN57" si="24">+AI$5*AM8</f>
        <v>3988448.5731357438</v>
      </c>
    </row>
    <row r="9" spans="1:40">
      <c r="A9" s="246">
        <v>12</v>
      </c>
      <c r="B9" s="4" t="s">
        <v>145</v>
      </c>
      <c r="C9" s="32">
        <v>1181103</v>
      </c>
      <c r="D9" s="32">
        <v>291226</v>
      </c>
      <c r="E9" s="34">
        <f t="shared" si="0"/>
        <v>0.24657121351821137</v>
      </c>
      <c r="F9" s="35">
        <f t="shared" si="9"/>
        <v>71807.948228054622</v>
      </c>
      <c r="G9" s="78">
        <f t="shared" si="1"/>
        <v>2.8189631424624623E-5</v>
      </c>
      <c r="H9" s="30">
        <v>1407</v>
      </c>
      <c r="I9" s="72">
        <f t="shared" si="2"/>
        <v>2.4323867366981983E-4</v>
      </c>
      <c r="J9" s="31">
        <f t="shared" si="10"/>
        <v>2.0675287261934686E-4</v>
      </c>
      <c r="K9" s="32">
        <v>694.5</v>
      </c>
      <c r="L9" s="69">
        <f t="shared" si="3"/>
        <v>1.0825108640759142E-2</v>
      </c>
      <c r="M9" s="33">
        <f t="shared" si="11"/>
        <v>1.6237662961138713E-3</v>
      </c>
      <c r="N9" s="78">
        <f t="shared" si="12"/>
        <v>1.8305191687332182E-3</v>
      </c>
      <c r="O9" s="193">
        <v>366</v>
      </c>
      <c r="P9" s="193">
        <v>167</v>
      </c>
      <c r="Q9" s="194">
        <v>1.7050555638</v>
      </c>
      <c r="R9" s="195">
        <f t="shared" si="13"/>
        <v>1.5526752035910496E-4</v>
      </c>
      <c r="S9" s="196">
        <f t="shared" si="4"/>
        <v>2.6473974946572169E-4</v>
      </c>
      <c r="T9" s="196">
        <f t="shared" si="14"/>
        <v>1.3730923918798022E-4</v>
      </c>
      <c r="U9" s="193">
        <f t="shared" si="15"/>
        <v>338414.59297823429</v>
      </c>
      <c r="V9" s="195">
        <f t="shared" si="5"/>
        <v>2.191616766467066</v>
      </c>
      <c r="W9" s="195">
        <f t="shared" si="16"/>
        <v>2.9122755057643529E-2</v>
      </c>
      <c r="X9" s="193">
        <f t="shared" si="17"/>
        <v>12666426.644216651</v>
      </c>
      <c r="Y9" s="32">
        <f t="shared" si="6"/>
        <v>13004841.237194885</v>
      </c>
      <c r="Z9" s="197">
        <f t="shared" si="18"/>
        <v>4.4851261119563121E-3</v>
      </c>
      <c r="AB9" s="36">
        <f t="shared" si="7"/>
        <v>163474.41390109746</v>
      </c>
      <c r="AC9" s="37">
        <f t="shared" si="8"/>
        <v>5307679.333153462</v>
      </c>
      <c r="AD9" s="37">
        <f t="shared" si="19"/>
        <v>13004841.237194885</v>
      </c>
      <c r="AE9" s="37">
        <f t="shared" si="20"/>
        <v>18475994.984249443</v>
      </c>
      <c r="AF9" s="38">
        <f t="shared" si="21"/>
        <v>1.5930061358846942E-3</v>
      </c>
      <c r="AH9" s="228"/>
      <c r="AL9" s="11">
        <f t="shared" si="22"/>
        <v>627.74397252690972</v>
      </c>
      <c r="AM9" s="105">
        <f t="shared" si="23"/>
        <v>3.1151080707870035E-2</v>
      </c>
      <c r="AN9" s="11">
        <f t="shared" si="24"/>
        <v>3115108.0707870033</v>
      </c>
    </row>
    <row r="10" spans="1:40" ht="13.5" customHeight="1">
      <c r="A10" s="246">
        <v>13</v>
      </c>
      <c r="B10" s="4" t="s">
        <v>3</v>
      </c>
      <c r="C10" s="32">
        <v>56374737</v>
      </c>
      <c r="D10" s="32">
        <v>25827964</v>
      </c>
      <c r="E10" s="34">
        <f t="shared" si="0"/>
        <v>0.45814784022850519</v>
      </c>
      <c r="F10" s="35">
        <f t="shared" si="9"/>
        <v>11833025.924099583</v>
      </c>
      <c r="G10" s="78">
        <f t="shared" si="1"/>
        <v>4.6452885463182424E-3</v>
      </c>
      <c r="H10" s="30">
        <v>35289</v>
      </c>
      <c r="I10" s="72">
        <f t="shared" si="2"/>
        <v>6.1006748792709828E-3</v>
      </c>
      <c r="J10" s="31">
        <f t="shared" si="10"/>
        <v>5.1855736473803348E-3</v>
      </c>
      <c r="K10" s="32">
        <v>190.5</v>
      </c>
      <c r="L10" s="69">
        <f t="shared" si="3"/>
        <v>2.9693062578324213E-3</v>
      </c>
      <c r="M10" s="33">
        <f t="shared" si="11"/>
        <v>4.4539593867486317E-4</v>
      </c>
      <c r="N10" s="78">
        <f t="shared" si="12"/>
        <v>5.6309695860551979E-3</v>
      </c>
      <c r="O10" s="193">
        <v>6372</v>
      </c>
      <c r="P10" s="193">
        <v>6876</v>
      </c>
      <c r="Q10" s="194">
        <v>1.5964581414000001</v>
      </c>
      <c r="R10" s="195">
        <f t="shared" si="13"/>
        <v>6.3929309580191959E-3</v>
      </c>
      <c r="S10" s="196">
        <f t="shared" si="4"/>
        <v>1.0206046675337848E-2</v>
      </c>
      <c r="T10" s="196">
        <f t="shared" si="14"/>
        <v>5.2934419819306551E-3</v>
      </c>
      <c r="U10" s="193">
        <f t="shared" si="15"/>
        <v>13046303.54346741</v>
      </c>
      <c r="V10" s="195">
        <f t="shared" si="5"/>
        <v>0.92670157068062831</v>
      </c>
      <c r="W10" s="195">
        <f t="shared" si="16"/>
        <v>1.2314243652174133E-2</v>
      </c>
      <c r="X10" s="193">
        <f t="shared" si="17"/>
        <v>5355862.2318027057</v>
      </c>
      <c r="Y10" s="32">
        <f t="shared" si="6"/>
        <v>18402165.775270116</v>
      </c>
      <c r="Z10" s="197">
        <f t="shared" si="18"/>
        <v>6.3465622324671766E-3</v>
      </c>
      <c r="AB10" s="36">
        <f t="shared" si="7"/>
        <v>26938480.006074354</v>
      </c>
      <c r="AC10" s="37">
        <f t="shared" si="8"/>
        <v>16327270.10348871</v>
      </c>
      <c r="AD10" s="37">
        <f t="shared" si="19"/>
        <v>18402165.775270116</v>
      </c>
      <c r="AE10" s="37">
        <f t="shared" si="20"/>
        <v>61667915.884833187</v>
      </c>
      <c r="AF10" s="38">
        <f t="shared" si="21"/>
        <v>5.3170272277897135E-3</v>
      </c>
      <c r="AH10" s="228"/>
      <c r="AL10" s="11">
        <f t="shared" si="22"/>
        <v>188.07501958490059</v>
      </c>
      <c r="AM10" s="105">
        <f t="shared" si="23"/>
        <v>9.3330089505117893E-3</v>
      </c>
      <c r="AN10" s="11">
        <f t="shared" si="24"/>
        <v>933300.89505117899</v>
      </c>
    </row>
    <row r="11" spans="1:40">
      <c r="A11" s="246">
        <v>14</v>
      </c>
      <c r="B11" s="4" t="s">
        <v>146</v>
      </c>
      <c r="C11" s="32">
        <v>10911069</v>
      </c>
      <c r="D11" s="32">
        <v>2729196</v>
      </c>
      <c r="E11" s="34">
        <f t="shared" si="0"/>
        <v>0.25013094500639671</v>
      </c>
      <c r="F11" s="35">
        <f t="shared" si="9"/>
        <v>682656.37458767788</v>
      </c>
      <c r="G11" s="78">
        <f t="shared" si="1"/>
        <v>2.6799027216570378E-4</v>
      </c>
      <c r="H11" s="30">
        <v>18030</v>
      </c>
      <c r="I11" s="72">
        <f t="shared" si="2"/>
        <v>3.1169817244256232E-3</v>
      </c>
      <c r="J11" s="31">
        <f t="shared" si="10"/>
        <v>2.6494344657617798E-3</v>
      </c>
      <c r="K11" s="32">
        <v>4539.2</v>
      </c>
      <c r="L11" s="69">
        <f t="shared" si="3"/>
        <v>7.0752099556708276E-2</v>
      </c>
      <c r="M11" s="33">
        <f t="shared" si="11"/>
        <v>1.0612814933506241E-2</v>
      </c>
      <c r="N11" s="78">
        <f t="shared" si="12"/>
        <v>1.3262249399268022E-2</v>
      </c>
      <c r="O11" s="193">
        <v>7349</v>
      </c>
      <c r="P11" s="193">
        <v>5491</v>
      </c>
      <c r="Q11" s="194">
        <v>1.7933312159000001</v>
      </c>
      <c r="R11" s="195">
        <f t="shared" si="13"/>
        <v>5.1052332592326066E-3</v>
      </c>
      <c r="S11" s="196">
        <f t="shared" si="4"/>
        <v>9.1553741682327307E-3</v>
      </c>
      <c r="T11" s="196">
        <f t="shared" si="14"/>
        <v>4.7485028752136602E-3</v>
      </c>
      <c r="U11" s="193">
        <f t="shared" si="15"/>
        <v>11703237.722928673</v>
      </c>
      <c r="V11" s="195">
        <f t="shared" si="5"/>
        <v>1.3383718812602441</v>
      </c>
      <c r="W11" s="195">
        <f t="shared" si="16"/>
        <v>1.7784622325559021E-2</v>
      </c>
      <c r="X11" s="193">
        <f t="shared" si="17"/>
        <v>7735106.5733963791</v>
      </c>
      <c r="Y11" s="32">
        <f t="shared" si="6"/>
        <v>19438344.29632505</v>
      </c>
      <c r="Z11" s="197">
        <f t="shared" si="18"/>
        <v>6.7039207927654639E-3</v>
      </c>
      <c r="AB11" s="36">
        <f t="shared" si="7"/>
        <v>1554101.6487081435</v>
      </c>
      <c r="AC11" s="37">
        <f t="shared" si="8"/>
        <v>38454536.969604805</v>
      </c>
      <c r="AD11" s="37">
        <f t="shared" si="19"/>
        <v>19438344.29632505</v>
      </c>
      <c r="AE11" s="37">
        <f t="shared" si="20"/>
        <v>59446982.914637998</v>
      </c>
      <c r="AF11" s="38">
        <f t="shared" si="21"/>
        <v>5.1255376840912215E-3</v>
      </c>
      <c r="AH11" s="228"/>
      <c r="AL11" s="11">
        <f t="shared" si="22"/>
        <v>195.10148234863755</v>
      </c>
      <c r="AM11" s="105">
        <f t="shared" si="23"/>
        <v>9.6816891740158558E-3</v>
      </c>
      <c r="AN11" s="11">
        <f t="shared" si="24"/>
        <v>968168.91740158561</v>
      </c>
    </row>
    <row r="12" spans="1:40">
      <c r="A12" s="246">
        <v>17</v>
      </c>
      <c r="B12" s="4" t="s">
        <v>4</v>
      </c>
      <c r="C12" s="32">
        <v>696327770</v>
      </c>
      <c r="D12" s="32">
        <v>369978125.35000002</v>
      </c>
      <c r="E12" s="34">
        <f t="shared" si="0"/>
        <v>0.53132754614971056</v>
      </c>
      <c r="F12" s="35">
        <f t="shared" si="9"/>
        <v>196579569.47128552</v>
      </c>
      <c r="G12" s="78">
        <f t="shared" si="1"/>
        <v>7.7171201040415208E-2</v>
      </c>
      <c r="H12" s="30">
        <v>656464</v>
      </c>
      <c r="I12" s="72">
        <f t="shared" si="2"/>
        <v>0.11348786970290306</v>
      </c>
      <c r="J12" s="31">
        <f t="shared" si="10"/>
        <v>9.6464689247467594E-2</v>
      </c>
      <c r="K12" s="32">
        <v>224</v>
      </c>
      <c r="L12" s="69">
        <f t="shared" si="3"/>
        <v>3.4914677257452094E-3</v>
      </c>
      <c r="M12" s="33">
        <f t="shared" si="11"/>
        <v>5.2372015886178135E-4</v>
      </c>
      <c r="N12" s="78">
        <f t="shared" si="12"/>
        <v>9.6988409406329371E-2</v>
      </c>
      <c r="O12" s="193">
        <v>77936</v>
      </c>
      <c r="P12" s="193">
        <v>87455</v>
      </c>
      <c r="Q12" s="194">
        <v>1.8323297204</v>
      </c>
      <c r="R12" s="195">
        <f t="shared" si="13"/>
        <v>8.1310904149733673E-2</v>
      </c>
      <c r="S12" s="196">
        <f t="shared" si="4"/>
        <v>0.14898838626615271</v>
      </c>
      <c r="T12" s="196">
        <f t="shared" si="14"/>
        <v>7.7273934146028844E-2</v>
      </c>
      <c r="U12" s="193">
        <f t="shared" si="15"/>
        <v>190450599.87590703</v>
      </c>
      <c r="V12" s="195">
        <f t="shared" si="5"/>
        <v>0.89115545137499286</v>
      </c>
      <c r="W12" s="195">
        <f t="shared" si="16"/>
        <v>1.1841897874560577E-2</v>
      </c>
      <c r="X12" s="193">
        <f t="shared" si="17"/>
        <v>5150423.7995182127</v>
      </c>
      <c r="Y12" s="32">
        <f t="shared" si="6"/>
        <v>195601023.67542523</v>
      </c>
      <c r="Z12" s="197">
        <f t="shared" si="18"/>
        <v>6.7459128705308596E-2</v>
      </c>
      <c r="AB12" s="36">
        <f t="shared" si="7"/>
        <v>447523299.26192462</v>
      </c>
      <c r="AC12" s="37">
        <f t="shared" si="8"/>
        <v>281222608.83924472</v>
      </c>
      <c r="AD12" s="37">
        <f t="shared" si="19"/>
        <v>195601023.6754252</v>
      </c>
      <c r="AE12" s="37">
        <f t="shared" si="20"/>
        <v>924346931.77659452</v>
      </c>
      <c r="AF12" s="38">
        <f t="shared" si="21"/>
        <v>7.9697485048117064E-2</v>
      </c>
      <c r="AH12" s="228"/>
      <c r="AL12" s="11">
        <f t="shared" si="22"/>
        <v>12.547447380507096</v>
      </c>
      <c r="AM12" s="105">
        <f t="shared" si="23"/>
        <v>6.2265280613454813E-4</v>
      </c>
      <c r="AN12" s="11">
        <f t="shared" si="24"/>
        <v>62265.280613454815</v>
      </c>
    </row>
    <row r="13" spans="1:40">
      <c r="A13" s="246">
        <v>16</v>
      </c>
      <c r="B13" s="4" t="s">
        <v>5</v>
      </c>
      <c r="C13" s="32">
        <v>1849663</v>
      </c>
      <c r="D13" s="32">
        <v>809425.1</v>
      </c>
      <c r="E13" s="34">
        <f t="shared" si="0"/>
        <v>0.43760679648130496</v>
      </c>
      <c r="F13" s="35">
        <f t="shared" si="9"/>
        <v>354209.9250025599</v>
      </c>
      <c r="G13" s="78">
        <f t="shared" si="1"/>
        <v>1.3905211719814937E-4</v>
      </c>
      <c r="H13" s="30">
        <v>14992</v>
      </c>
      <c r="I13" s="72">
        <f t="shared" si="2"/>
        <v>2.5917798121236242E-3</v>
      </c>
      <c r="J13" s="31">
        <f t="shared" si="10"/>
        <v>2.2030128403050806E-3</v>
      </c>
      <c r="K13" s="32">
        <v>2688.6</v>
      </c>
      <c r="L13" s="69">
        <f t="shared" si="3"/>
        <v>4.1906964854636471E-2</v>
      </c>
      <c r="M13" s="33">
        <f t="shared" si="11"/>
        <v>6.2860447281954702E-3</v>
      </c>
      <c r="N13" s="78">
        <f t="shared" si="12"/>
        <v>8.48905756850055E-3</v>
      </c>
      <c r="O13" s="193">
        <v>10274</v>
      </c>
      <c r="P13" s="193">
        <v>7471</v>
      </c>
      <c r="Q13" s="194">
        <v>2.3084826450000002</v>
      </c>
      <c r="R13" s="195">
        <f t="shared" si="13"/>
        <v>6.9461296084004373E-3</v>
      </c>
      <c r="S13" s="196">
        <f t="shared" si="4"/>
        <v>1.6035019650913057E-2</v>
      </c>
      <c r="T13" s="196">
        <f t="shared" si="14"/>
        <v>8.3166821494490614E-3</v>
      </c>
      <c r="U13" s="193">
        <f t="shared" si="15"/>
        <v>20497430.625786509</v>
      </c>
      <c r="V13" s="195">
        <f t="shared" si="5"/>
        <v>1.375184044973899</v>
      </c>
      <c r="W13" s="195">
        <f t="shared" si="16"/>
        <v>1.8273791619834338E-2</v>
      </c>
      <c r="X13" s="193">
        <f t="shared" si="17"/>
        <v>7947862.0963638164</v>
      </c>
      <c r="Y13" s="32">
        <f t="shared" si="6"/>
        <v>28445292.722150326</v>
      </c>
      <c r="Z13" s="197">
        <f t="shared" si="18"/>
        <v>9.8102485700068531E-3</v>
      </c>
      <c r="AB13" s="36">
        <f t="shared" si="7"/>
        <v>806376.74960224773</v>
      </c>
      <c r="AC13" s="37">
        <f t="shared" si="8"/>
        <v>24614435.174399987</v>
      </c>
      <c r="AD13" s="37">
        <f t="shared" si="19"/>
        <v>28445292.722150326</v>
      </c>
      <c r="AE13" s="37">
        <f t="shared" si="20"/>
        <v>53866104.646152556</v>
      </c>
      <c r="AF13" s="38">
        <f t="shared" si="21"/>
        <v>4.6443525932259233E-3</v>
      </c>
      <c r="AH13" s="228"/>
      <c r="AL13" s="11">
        <f t="shared" si="22"/>
        <v>215.31526298381436</v>
      </c>
      <c r="AM13" s="105">
        <f t="shared" si="23"/>
        <v>1.0684775049046828E-2</v>
      </c>
      <c r="AN13" s="11">
        <f t="shared" si="24"/>
        <v>1068477.5049046827</v>
      </c>
    </row>
    <row r="14" spans="1:40">
      <c r="A14" s="246">
        <v>18</v>
      </c>
      <c r="B14" s="4" t="s">
        <v>6</v>
      </c>
      <c r="C14" s="32">
        <v>2325037</v>
      </c>
      <c r="D14" s="32">
        <v>2282515</v>
      </c>
      <c r="E14" s="34">
        <f t="shared" si="0"/>
        <v>0.9817112587885698</v>
      </c>
      <c r="F14" s="35">
        <f t="shared" si="9"/>
        <v>2240770.6738537923</v>
      </c>
      <c r="G14" s="78">
        <f t="shared" si="1"/>
        <v>8.7965888124857548E-4</v>
      </c>
      <c r="H14" s="30">
        <v>3661</v>
      </c>
      <c r="I14" s="72">
        <f t="shared" si="2"/>
        <v>6.329046086035611E-4</v>
      </c>
      <c r="J14" s="31">
        <f t="shared" si="10"/>
        <v>5.3796891731302697E-4</v>
      </c>
      <c r="K14" s="32">
        <v>466.7</v>
      </c>
      <c r="L14" s="69">
        <f t="shared" si="3"/>
        <v>7.2744106589521839E-3</v>
      </c>
      <c r="M14" s="33">
        <f t="shared" si="11"/>
        <v>1.0911615988428275E-3</v>
      </c>
      <c r="N14" s="78">
        <f t="shared" si="12"/>
        <v>1.6291305161558545E-3</v>
      </c>
      <c r="O14" s="193">
        <v>1472</v>
      </c>
      <c r="P14" s="193">
        <v>1100</v>
      </c>
      <c r="Q14" s="194">
        <v>1.4822637890000001</v>
      </c>
      <c r="R14" s="195">
        <f t="shared" si="13"/>
        <v>1.0227201939821285E-3</v>
      </c>
      <c r="S14" s="196">
        <f t="shared" si="4"/>
        <v>1.515941109818765E-3</v>
      </c>
      <c r="T14" s="196">
        <f t="shared" si="14"/>
        <v>7.8625412641311154E-4</v>
      </c>
      <c r="U14" s="193">
        <f t="shared" si="15"/>
        <v>1937814.7584320926</v>
      </c>
      <c r="V14" s="195">
        <f t="shared" si="5"/>
        <v>1.3381818181818181</v>
      </c>
      <c r="W14" s="195">
        <f t="shared" si="16"/>
        <v>1.7782096719548338E-2</v>
      </c>
      <c r="X14" s="193">
        <f t="shared" si="17"/>
        <v>7734008.1057821997</v>
      </c>
      <c r="Y14" s="32">
        <f t="shared" si="6"/>
        <v>9671822.8642142918</v>
      </c>
      <c r="Z14" s="197">
        <f t="shared" si="18"/>
        <v>3.3356305153833953E-3</v>
      </c>
      <c r="AB14" s="36">
        <f t="shared" si="7"/>
        <v>5101227.393820771</v>
      </c>
      <c r="AC14" s="37">
        <f t="shared" si="8"/>
        <v>4723743.1430963995</v>
      </c>
      <c r="AD14" s="37">
        <f t="shared" si="19"/>
        <v>9671822.8642142918</v>
      </c>
      <c r="AE14" s="37">
        <f t="shared" si="20"/>
        <v>19496793.401131462</v>
      </c>
      <c r="AF14" s="38">
        <f t="shared" si="21"/>
        <v>1.6810196985090997E-3</v>
      </c>
      <c r="AH14" s="228"/>
      <c r="AL14" s="11">
        <f t="shared" si="22"/>
        <v>594.87702665644099</v>
      </c>
      <c r="AM14" s="105">
        <f t="shared" si="23"/>
        <v>2.9520095898392988E-2</v>
      </c>
      <c r="AN14" s="11">
        <f t="shared" si="24"/>
        <v>2952009.5898392987</v>
      </c>
    </row>
    <row r="15" spans="1:40">
      <c r="A15" s="246">
        <v>19</v>
      </c>
      <c r="B15" s="4" t="s">
        <v>130</v>
      </c>
      <c r="C15" s="32">
        <v>116630005</v>
      </c>
      <c r="D15" s="32">
        <v>34565785.189999998</v>
      </c>
      <c r="E15" s="34">
        <f t="shared" si="0"/>
        <v>0.29637129133279211</v>
      </c>
      <c r="F15" s="35">
        <f t="shared" si="9"/>
        <v>10244306.392692201</v>
      </c>
      <c r="G15" s="78">
        <f t="shared" si="1"/>
        <v>4.0216052475663747E-3</v>
      </c>
      <c r="H15" s="30">
        <v>122337</v>
      </c>
      <c r="I15" s="72">
        <f t="shared" si="2"/>
        <v>2.1149317427679282E-2</v>
      </c>
      <c r="J15" s="31">
        <f t="shared" si="10"/>
        <v>1.7976919813527389E-2</v>
      </c>
      <c r="K15" s="32">
        <v>1140.9000000000001</v>
      </c>
      <c r="L15" s="69">
        <f t="shared" si="3"/>
        <v>1.7783105037065667E-2</v>
      </c>
      <c r="M15" s="33">
        <f t="shared" si="11"/>
        <v>2.6674657555598499E-3</v>
      </c>
      <c r="N15" s="78">
        <f t="shared" si="12"/>
        <v>2.0644385569087237E-2</v>
      </c>
      <c r="O15" s="193">
        <v>26523</v>
      </c>
      <c r="P15" s="193">
        <v>24758</v>
      </c>
      <c r="Q15" s="194">
        <v>1.8739893594999999</v>
      </c>
      <c r="R15" s="195">
        <f t="shared" si="13"/>
        <v>2.3018642329645032E-2</v>
      </c>
      <c r="S15" s="196">
        <f t="shared" si="4"/>
        <v>4.3136690795891081E-2</v>
      </c>
      <c r="T15" s="196">
        <f t="shared" si="14"/>
        <v>2.2373165367967789E-2</v>
      </c>
      <c r="U15" s="193">
        <f t="shared" si="15"/>
        <v>55141268.689647891</v>
      </c>
      <c r="V15" s="195">
        <f t="shared" si="5"/>
        <v>1.0712900880523468</v>
      </c>
      <c r="W15" s="195">
        <f t="shared" si="16"/>
        <v>1.4235572253046412E-2</v>
      </c>
      <c r="X15" s="193">
        <f t="shared" si="17"/>
        <v>6191510.0863485569</v>
      </c>
      <c r="Y15" s="32">
        <f t="shared" si="6"/>
        <v>61332778.775996447</v>
      </c>
      <c r="Z15" s="197">
        <f t="shared" si="18"/>
        <v>2.1152526400729583E-2</v>
      </c>
      <c r="AB15" s="36">
        <f t="shared" si="7"/>
        <v>23321679.907215938</v>
      </c>
      <c r="AC15" s="37">
        <f t="shared" si="8"/>
        <v>59859399.727851361</v>
      </c>
      <c r="AD15" s="37">
        <f t="shared" si="19"/>
        <v>61332778.775996454</v>
      </c>
      <c r="AE15" s="37">
        <f t="shared" si="20"/>
        <v>144513858.41106376</v>
      </c>
      <c r="AF15" s="38">
        <f t="shared" si="21"/>
        <v>1.246003061623739E-2</v>
      </c>
      <c r="AH15" s="228"/>
      <c r="AL15" s="11">
        <f t="shared" si="22"/>
        <v>80.256624626334542</v>
      </c>
      <c r="AM15" s="105">
        <f t="shared" si="23"/>
        <v>3.9826437217905832E-3</v>
      </c>
      <c r="AN15" s="11">
        <f t="shared" si="24"/>
        <v>398264.37217905832</v>
      </c>
    </row>
    <row r="16" spans="1:40">
      <c r="A16" s="246">
        <v>20</v>
      </c>
      <c r="B16" s="4" t="s">
        <v>131</v>
      </c>
      <c r="C16" s="32">
        <v>36098646</v>
      </c>
      <c r="D16" s="32">
        <v>10430458.359999999</v>
      </c>
      <c r="E16" s="34">
        <f t="shared" si="0"/>
        <v>0.28894320191399975</v>
      </c>
      <c r="F16" s="35">
        <f t="shared" si="9"/>
        <v>3013810.0359690464</v>
      </c>
      <c r="G16" s="78">
        <f t="shared" si="1"/>
        <v>1.1831307841853893E-3</v>
      </c>
      <c r="H16" s="30">
        <v>104478</v>
      </c>
      <c r="I16" s="72">
        <f t="shared" si="2"/>
        <v>1.8061897759541888E-2</v>
      </c>
      <c r="J16" s="31">
        <f t="shared" si="10"/>
        <v>1.5352613095610604E-2</v>
      </c>
      <c r="K16" s="32">
        <v>104.3</v>
      </c>
      <c r="L16" s="69">
        <f t="shared" si="3"/>
        <v>1.6257146598001131E-3</v>
      </c>
      <c r="M16" s="33">
        <f t="shared" si="11"/>
        <v>2.4385719897001694E-4</v>
      </c>
      <c r="N16" s="78">
        <f t="shared" si="12"/>
        <v>1.5596470294580621E-2</v>
      </c>
      <c r="O16" s="193">
        <v>8234</v>
      </c>
      <c r="P16" s="193">
        <v>27842</v>
      </c>
      <c r="Q16" s="194">
        <v>1.8343045897000001</v>
      </c>
      <c r="R16" s="195">
        <f t="shared" si="13"/>
        <v>2.5885977855318563E-2</v>
      </c>
      <c r="S16" s="196">
        <f t="shared" si="4"/>
        <v>4.7482767988883408E-2</v>
      </c>
      <c r="T16" s="196">
        <f t="shared" si="14"/>
        <v>2.4627290613709465E-2</v>
      </c>
      <c r="U16" s="193">
        <f t="shared" si="15"/>
        <v>60696822.577141926</v>
      </c>
      <c r="V16" s="195">
        <f t="shared" si="5"/>
        <v>0.29574024854536313</v>
      </c>
      <c r="W16" s="195">
        <f t="shared" si="16"/>
        <v>3.9298708382110078E-3</v>
      </c>
      <c r="X16" s="193">
        <f t="shared" si="17"/>
        <v>1709227.7360064327</v>
      </c>
      <c r="Y16" s="32">
        <f t="shared" si="6"/>
        <v>62406050.313148357</v>
      </c>
      <c r="Z16" s="197">
        <f t="shared" si="18"/>
        <v>2.1522677647384695E-2</v>
      </c>
      <c r="AB16" s="36">
        <f t="shared" si="7"/>
        <v>6861090.4697427358</v>
      </c>
      <c r="AC16" s="37">
        <f t="shared" si="8"/>
        <v>45222723.949935347</v>
      </c>
      <c r="AD16" s="37">
        <f t="shared" si="19"/>
        <v>62406050.313148357</v>
      </c>
      <c r="AE16" s="37">
        <f t="shared" si="20"/>
        <v>114489864.73282644</v>
      </c>
      <c r="AF16" s="38">
        <f t="shared" si="21"/>
        <v>9.8713523775840212E-3</v>
      </c>
      <c r="AH16" s="228"/>
      <c r="AL16" s="11">
        <f t="shared" si="22"/>
        <v>101.30324212423126</v>
      </c>
      <c r="AM16" s="105">
        <f t="shared" si="23"/>
        <v>5.0270581789545587E-3</v>
      </c>
      <c r="AN16" s="11">
        <f t="shared" si="24"/>
        <v>502705.81789545587</v>
      </c>
    </row>
    <row r="17" spans="1:40">
      <c r="A17" s="246">
        <v>23</v>
      </c>
      <c r="B17" s="4" t="s">
        <v>132</v>
      </c>
      <c r="C17" s="32">
        <v>3294944</v>
      </c>
      <c r="D17" s="32">
        <v>1264344</v>
      </c>
      <c r="E17" s="34">
        <f t="shared" si="0"/>
        <v>0.38372245476706129</v>
      </c>
      <c r="F17" s="35">
        <f t="shared" si="9"/>
        <v>485157.18335000536</v>
      </c>
      <c r="G17" s="78">
        <f t="shared" si="1"/>
        <v>1.9045805539814119E-4</v>
      </c>
      <c r="H17" s="30">
        <v>7340</v>
      </c>
      <c r="I17" s="72">
        <f t="shared" si="2"/>
        <v>1.2689210126058832E-3</v>
      </c>
      <c r="J17" s="31">
        <f t="shared" si="10"/>
        <v>1.0785828607150008E-3</v>
      </c>
      <c r="K17" s="32">
        <v>1007.4</v>
      </c>
      <c r="L17" s="69">
        <f t="shared" si="3"/>
        <v>1.5702252620159483E-2</v>
      </c>
      <c r="M17" s="33">
        <f t="shared" si="11"/>
        <v>2.3553378930239225E-3</v>
      </c>
      <c r="N17" s="78">
        <f t="shared" si="12"/>
        <v>3.4339207537389233E-3</v>
      </c>
      <c r="O17" s="193">
        <v>3737</v>
      </c>
      <c r="P17" s="193">
        <v>763</v>
      </c>
      <c r="Q17" s="194">
        <v>1.7930753231000001</v>
      </c>
      <c r="R17" s="195">
        <f t="shared" si="13"/>
        <v>7.0939591637123999E-4</v>
      </c>
      <c r="S17" s="196">
        <f t="shared" si="4"/>
        <v>1.2720003119531817E-3</v>
      </c>
      <c r="T17" s="196">
        <f t="shared" si="14"/>
        <v>6.5973241809605702E-4</v>
      </c>
      <c r="U17" s="193">
        <f t="shared" si="15"/>
        <v>1625987.2901842387</v>
      </c>
      <c r="V17" s="195">
        <f t="shared" si="5"/>
        <v>4.8977719528178243</v>
      </c>
      <c r="W17" s="195">
        <f t="shared" si="16"/>
        <v>6.5082826109257794E-2</v>
      </c>
      <c r="X17" s="193">
        <f t="shared" si="17"/>
        <v>28306622.813656487</v>
      </c>
      <c r="Y17" s="32">
        <f t="shared" si="6"/>
        <v>29932610.103840724</v>
      </c>
      <c r="Z17" s="197">
        <f t="shared" si="18"/>
        <v>1.0323196471770317E-2</v>
      </c>
      <c r="AB17" s="36">
        <f t="shared" si="7"/>
        <v>1104484.784137914</v>
      </c>
      <c r="AC17" s="37">
        <f t="shared" si="8"/>
        <v>9956820.189389199</v>
      </c>
      <c r="AD17" s="37">
        <f t="shared" si="19"/>
        <v>29932610.103840724</v>
      </c>
      <c r="AE17" s="37">
        <f t="shared" si="20"/>
        <v>40993915.077367835</v>
      </c>
      <c r="AF17" s="38">
        <f t="shared" si="21"/>
        <v>3.5345083340763794E-3</v>
      </c>
      <c r="AH17" s="228"/>
      <c r="AL17" s="11">
        <f t="shared" si="22"/>
        <v>282.92478202949695</v>
      </c>
      <c r="AM17" s="105">
        <f t="shared" si="23"/>
        <v>1.4039820539861241E-2</v>
      </c>
      <c r="AN17" s="11">
        <f t="shared" si="24"/>
        <v>1403982.053986124</v>
      </c>
    </row>
    <row r="18" spans="1:40">
      <c r="A18" s="246">
        <v>21</v>
      </c>
      <c r="B18" s="4" t="s">
        <v>7</v>
      </c>
      <c r="C18" s="32">
        <v>5282316</v>
      </c>
      <c r="D18" s="32">
        <v>1750296.04</v>
      </c>
      <c r="E18" s="34">
        <f t="shared" si="0"/>
        <v>0.33135011990952457</v>
      </c>
      <c r="F18" s="35">
        <f t="shared" si="9"/>
        <v>579960.80273116601</v>
      </c>
      <c r="G18" s="78">
        <f t="shared" si="1"/>
        <v>2.2767509270420376E-4</v>
      </c>
      <c r="H18" s="30">
        <v>9930</v>
      </c>
      <c r="I18" s="72">
        <f t="shared" si="2"/>
        <v>1.7166737949831634E-3</v>
      </c>
      <c r="J18" s="31">
        <f t="shared" si="10"/>
        <v>1.4591727257356889E-3</v>
      </c>
      <c r="K18" s="32">
        <v>4265.7</v>
      </c>
      <c r="L18" s="69">
        <f t="shared" si="3"/>
        <v>6.6489079811211327E-2</v>
      </c>
      <c r="M18" s="33">
        <f t="shared" si="11"/>
        <v>9.9733619716816987E-3</v>
      </c>
      <c r="N18" s="78">
        <f t="shared" si="12"/>
        <v>1.1432534697417387E-2</v>
      </c>
      <c r="O18" s="193">
        <v>4127</v>
      </c>
      <c r="P18" s="193">
        <v>1614</v>
      </c>
      <c r="Q18" s="194">
        <v>1.7681716602999999</v>
      </c>
      <c r="R18" s="195">
        <f t="shared" si="13"/>
        <v>1.5006094482610502E-3</v>
      </c>
      <c r="S18" s="196">
        <f t="shared" si="4"/>
        <v>2.6533350995936078E-3</v>
      </c>
      <c r="T18" s="196">
        <f t="shared" si="14"/>
        <v>1.3761719748213892E-3</v>
      </c>
      <c r="U18" s="193">
        <f t="shared" si="15"/>
        <v>3391735.9201856335</v>
      </c>
      <c r="V18" s="195">
        <f t="shared" si="5"/>
        <v>2.5570012391573731</v>
      </c>
      <c r="W18" s="195">
        <f t="shared" si="16"/>
        <v>3.3978075870496942E-2</v>
      </c>
      <c r="X18" s="193">
        <f t="shared" si="17"/>
        <v>14778162.460021792</v>
      </c>
      <c r="Y18" s="32">
        <f t="shared" si="6"/>
        <v>18169898.380207427</v>
      </c>
      <c r="Z18" s="197">
        <f t="shared" si="18"/>
        <v>6.2664575591727225E-3</v>
      </c>
      <c r="AB18" s="36">
        <f t="shared" si="7"/>
        <v>1320310.002605625</v>
      </c>
      <c r="AC18" s="37">
        <f t="shared" si="8"/>
        <v>33149190.227292143</v>
      </c>
      <c r="AD18" s="37">
        <f t="shared" si="19"/>
        <v>18169898.380207427</v>
      </c>
      <c r="AE18" s="37">
        <f t="shared" si="20"/>
        <v>52639398.610105194</v>
      </c>
      <c r="AF18" s="38">
        <f t="shared" si="21"/>
        <v>4.5385856104996278E-3</v>
      </c>
      <c r="AH18" s="228"/>
      <c r="AL18" s="11">
        <f t="shared" si="22"/>
        <v>220.33295960895526</v>
      </c>
      <c r="AM18" s="105">
        <f t="shared" si="23"/>
        <v>1.093377253747858E-2</v>
      </c>
      <c r="AN18" s="11">
        <f t="shared" si="24"/>
        <v>1093377.2537478581</v>
      </c>
    </row>
    <row r="19" spans="1:40">
      <c r="A19" s="246">
        <v>22</v>
      </c>
      <c r="B19" s="4" t="s">
        <v>133</v>
      </c>
      <c r="C19" s="32">
        <v>53700075</v>
      </c>
      <c r="D19" s="32">
        <v>15225307</v>
      </c>
      <c r="E19" s="34">
        <f t="shared" si="0"/>
        <v>0.28352487403416105</v>
      </c>
      <c r="F19" s="35">
        <f t="shared" si="9"/>
        <v>4316753.2493064301</v>
      </c>
      <c r="G19" s="78">
        <f t="shared" si="1"/>
        <v>1.6946269326973595E-3</v>
      </c>
      <c r="H19" s="30">
        <v>68747</v>
      </c>
      <c r="I19" s="72">
        <f t="shared" si="2"/>
        <v>1.1884811015479108E-2</v>
      </c>
      <c r="J19" s="31">
        <f t="shared" si="10"/>
        <v>1.0102089363157242E-2</v>
      </c>
      <c r="K19" s="32">
        <v>138.69999999999999</v>
      </c>
      <c r="L19" s="69">
        <f t="shared" si="3"/>
        <v>2.1619043462538417E-3</v>
      </c>
      <c r="M19" s="33">
        <f t="shared" si="11"/>
        <v>3.2428565193807623E-4</v>
      </c>
      <c r="N19" s="78">
        <f t="shared" si="12"/>
        <v>1.0426375015095319E-2</v>
      </c>
      <c r="O19" s="193">
        <v>10747</v>
      </c>
      <c r="P19" s="193">
        <v>15877</v>
      </c>
      <c r="Q19" s="194">
        <v>1.8900298334000001</v>
      </c>
      <c r="R19" s="195">
        <f t="shared" si="13"/>
        <v>1.4761571381685684E-2</v>
      </c>
      <c r="S19" s="196">
        <f t="shared" si="4"/>
        <v>2.7899810299249601E-2</v>
      </c>
      <c r="T19" s="196">
        <f t="shared" si="14"/>
        <v>1.4470444024405789E-2</v>
      </c>
      <c r="U19" s="193">
        <f t="shared" si="15"/>
        <v>35664092.625474855</v>
      </c>
      <c r="V19" s="195">
        <f t="shared" si="5"/>
        <v>0.67689110033381616</v>
      </c>
      <c r="W19" s="195">
        <f t="shared" si="16"/>
        <v>8.9946992637304091E-3</v>
      </c>
      <c r="X19" s="193">
        <f t="shared" si="17"/>
        <v>3912085.1782506276</v>
      </c>
      <c r="Y19" s="32">
        <f t="shared" si="6"/>
        <v>39576177.803725481</v>
      </c>
      <c r="Z19" s="197">
        <f t="shared" si="18"/>
        <v>1.3649082310304482E-2</v>
      </c>
      <c r="AB19" s="36">
        <f t="shared" si="7"/>
        <v>9827306.3748439681</v>
      </c>
      <c r="AC19" s="37">
        <f t="shared" si="8"/>
        <v>30231781.306953542</v>
      </c>
      <c r="AD19" s="37">
        <f t="shared" si="19"/>
        <v>39576177.803725481</v>
      </c>
      <c r="AE19" s="37">
        <f t="shared" si="20"/>
        <v>79635265.485522985</v>
      </c>
      <c r="AF19" s="38">
        <f t="shared" si="21"/>
        <v>6.8661777976986279E-3</v>
      </c>
      <c r="AH19" s="228"/>
      <c r="AL19" s="11">
        <f t="shared" si="22"/>
        <v>145.64143683188269</v>
      </c>
      <c r="AM19" s="105">
        <f t="shared" si="23"/>
        <v>7.2272906658066693E-3</v>
      </c>
      <c r="AN19" s="11">
        <f t="shared" si="24"/>
        <v>722729.06658066693</v>
      </c>
    </row>
    <row r="20" spans="1:40">
      <c r="A20" s="246">
        <v>25</v>
      </c>
      <c r="B20" s="4" t="s">
        <v>8</v>
      </c>
      <c r="C20" s="32">
        <v>7034210</v>
      </c>
      <c r="D20" s="32">
        <v>928327</v>
      </c>
      <c r="E20" s="34">
        <f t="shared" si="0"/>
        <v>0.13197317111658594</v>
      </c>
      <c r="F20" s="35">
        <f t="shared" si="9"/>
        <v>122514.25802314687</v>
      </c>
      <c r="G20" s="78">
        <f t="shared" si="1"/>
        <v>4.8095397002090815E-5</v>
      </c>
      <c r="H20" s="30">
        <v>36088</v>
      </c>
      <c r="I20" s="72">
        <f t="shared" si="2"/>
        <v>6.2388040194715413E-3</v>
      </c>
      <c r="J20" s="31">
        <f t="shared" si="10"/>
        <v>5.3029834165508102E-3</v>
      </c>
      <c r="K20" s="32">
        <v>5053.7</v>
      </c>
      <c r="L20" s="69">
        <f t="shared" si="3"/>
        <v>7.87715644892793E-2</v>
      </c>
      <c r="M20" s="33">
        <f t="shared" si="11"/>
        <v>1.1815734673391894E-2</v>
      </c>
      <c r="N20" s="78">
        <f t="shared" si="12"/>
        <v>1.7118718089942704E-2</v>
      </c>
      <c r="O20" s="193">
        <v>25568</v>
      </c>
      <c r="P20" s="193">
        <v>20948</v>
      </c>
      <c r="Q20" s="194">
        <v>2.5216163224999999</v>
      </c>
      <c r="R20" s="195">
        <f t="shared" si="13"/>
        <v>1.9476311475943298E-2</v>
      </c>
      <c r="S20" s="196">
        <f t="shared" si="4"/>
        <v>4.9111784919832688E-2</v>
      </c>
      <c r="T20" s="196">
        <f t="shared" si="14"/>
        <v>2.5472192355379904E-2</v>
      </c>
      <c r="U20" s="193">
        <f t="shared" si="15"/>
        <v>62779181.205774054</v>
      </c>
      <c r="V20" s="195">
        <f t="shared" si="5"/>
        <v>1.220546114187512</v>
      </c>
      <c r="W20" s="195">
        <f t="shared" si="16"/>
        <v>1.6218923884827686E-2</v>
      </c>
      <c r="X20" s="193">
        <f t="shared" si="17"/>
        <v>7054133.7599646086</v>
      </c>
      <c r="Y20" s="32">
        <f t="shared" si="6"/>
        <v>69833314.965738669</v>
      </c>
      <c r="Z20" s="197">
        <f t="shared" si="18"/>
        <v>2.4084202084797075E-2</v>
      </c>
      <c r="AB20" s="36">
        <f t="shared" si="7"/>
        <v>278909.88419910113</v>
      </c>
      <c r="AC20" s="37">
        <f t="shared" si="8"/>
        <v>49636555.447243899</v>
      </c>
      <c r="AD20" s="37">
        <f t="shared" si="19"/>
        <v>69833314.965738669</v>
      </c>
      <c r="AE20" s="37">
        <f t="shared" si="20"/>
        <v>119748780.29718167</v>
      </c>
      <c r="AF20" s="38">
        <f t="shared" si="21"/>
        <v>1.0324777742185987E-2</v>
      </c>
      <c r="AH20" s="228"/>
      <c r="AL20" s="11">
        <f t="shared" si="22"/>
        <v>96.854385147110946</v>
      </c>
      <c r="AM20" s="105">
        <f t="shared" si="23"/>
        <v>4.8062887111185223E-3</v>
      </c>
      <c r="AN20" s="11">
        <f t="shared" si="24"/>
        <v>480628.87111185223</v>
      </c>
    </row>
    <row r="21" spans="1:40">
      <c r="A21" s="246">
        <v>27</v>
      </c>
      <c r="B21" s="4" t="s">
        <v>9</v>
      </c>
      <c r="C21" s="32">
        <v>1629962</v>
      </c>
      <c r="D21" s="32">
        <v>292169</v>
      </c>
      <c r="E21" s="34">
        <f t="shared" si="0"/>
        <v>0.1792489640862793</v>
      </c>
      <c r="F21" s="35">
        <f t="shared" si="9"/>
        <v>52370.990588124136</v>
      </c>
      <c r="G21" s="78">
        <f t="shared" si="1"/>
        <v>2.0559268973026053E-5</v>
      </c>
      <c r="H21" s="30">
        <v>1360</v>
      </c>
      <c r="I21" s="72">
        <f t="shared" si="2"/>
        <v>2.351134301286105E-4</v>
      </c>
      <c r="J21" s="31">
        <f t="shared" si="10"/>
        <v>1.9984641560931893E-4</v>
      </c>
      <c r="K21" s="32">
        <v>720.7</v>
      </c>
      <c r="L21" s="69">
        <f t="shared" si="3"/>
        <v>1.1233485669395412E-2</v>
      </c>
      <c r="M21" s="33">
        <f t="shared" si="11"/>
        <v>1.6850228504093118E-3</v>
      </c>
      <c r="N21" s="78">
        <f t="shared" si="12"/>
        <v>1.8848692660186307E-3</v>
      </c>
      <c r="O21" s="193">
        <v>347</v>
      </c>
      <c r="P21" s="193">
        <v>179</v>
      </c>
      <c r="Q21" s="194">
        <v>1.9685182910000001</v>
      </c>
      <c r="R21" s="195">
        <f t="shared" si="13"/>
        <v>1.6642446792981908E-4</v>
      </c>
      <c r="S21" s="196">
        <f t="shared" si="4"/>
        <v>3.2760960918979179E-4</v>
      </c>
      <c r="T21" s="196">
        <f t="shared" si="14"/>
        <v>1.699171593208232E-4</v>
      </c>
      <c r="U21" s="193">
        <f t="shared" si="15"/>
        <v>418780.60538119875</v>
      </c>
      <c r="V21" s="195">
        <f t="shared" si="5"/>
        <v>1.9385474860335195</v>
      </c>
      <c r="W21" s="195">
        <f t="shared" si="16"/>
        <v>2.5759906780770288E-2</v>
      </c>
      <c r="X21" s="193">
        <f t="shared" si="17"/>
        <v>11203815.331161441</v>
      </c>
      <c r="Y21" s="32">
        <f t="shared" si="6"/>
        <v>11622595.93654264</v>
      </c>
      <c r="Z21" s="197">
        <f t="shared" si="18"/>
        <v>4.0084156025382428E-3</v>
      </c>
      <c r="AB21" s="36">
        <f t="shared" si="7"/>
        <v>119225.20003807415</v>
      </c>
      <c r="AC21" s="37">
        <f t="shared" si="8"/>
        <v>5465270.0828402285</v>
      </c>
      <c r="AD21" s="37">
        <f t="shared" si="19"/>
        <v>11622595.93654264</v>
      </c>
      <c r="AE21" s="37">
        <f t="shared" si="20"/>
        <v>17207091.219420943</v>
      </c>
      <c r="AF21" s="38">
        <f t="shared" si="21"/>
        <v>1.4836008516257309E-3</v>
      </c>
      <c r="AH21" s="228"/>
      <c r="AL21" s="11">
        <f t="shared" si="22"/>
        <v>674.03574142209425</v>
      </c>
      <c r="AM21" s="105">
        <f t="shared" si="23"/>
        <v>3.3448257091992374E-2</v>
      </c>
      <c r="AN21" s="11">
        <f t="shared" si="24"/>
        <v>3344825.7091992376</v>
      </c>
    </row>
    <row r="22" spans="1:40">
      <c r="A22" s="246">
        <v>26</v>
      </c>
      <c r="B22" s="4" t="s">
        <v>134</v>
      </c>
      <c r="C22" s="32">
        <v>2243867</v>
      </c>
      <c r="D22" s="32">
        <v>719516</v>
      </c>
      <c r="E22" s="34">
        <f t="shared" si="0"/>
        <v>0.32065893388511885</v>
      </c>
      <c r="F22" s="35">
        <f t="shared" si="9"/>
        <v>230719.23347328516</v>
      </c>
      <c r="G22" s="78">
        <f t="shared" si="1"/>
        <v>9.0573401895959236E-5</v>
      </c>
      <c r="H22" s="30">
        <v>3256</v>
      </c>
      <c r="I22" s="72">
        <f t="shared" si="2"/>
        <v>5.6288921213143808E-4</v>
      </c>
      <c r="J22" s="31">
        <f t="shared" si="10"/>
        <v>4.7845583031172234E-4</v>
      </c>
      <c r="K22" s="32">
        <v>614.70000000000005</v>
      </c>
      <c r="L22" s="69">
        <f t="shared" si="3"/>
        <v>9.5812732634624129E-3</v>
      </c>
      <c r="M22" s="33">
        <f t="shared" si="11"/>
        <v>1.4371909895193619E-3</v>
      </c>
      <c r="N22" s="78">
        <f t="shared" si="12"/>
        <v>1.9156468198310843E-3</v>
      </c>
      <c r="O22" s="193">
        <v>355</v>
      </c>
      <c r="P22" s="193">
        <v>468</v>
      </c>
      <c r="Q22" s="194">
        <v>1.9393994637</v>
      </c>
      <c r="R22" s="195">
        <f t="shared" si="13"/>
        <v>4.3512095525785101E-4</v>
      </c>
      <c r="S22" s="196">
        <f t="shared" si="4"/>
        <v>8.43873347271708E-4</v>
      </c>
      <c r="T22" s="196">
        <f t="shared" si="14"/>
        <v>4.3768118508360012E-4</v>
      </c>
      <c r="U22" s="193">
        <f t="shared" si="15"/>
        <v>1078716.1955032062</v>
      </c>
      <c r="V22" s="195">
        <f t="shared" si="5"/>
        <v>0.75854700854700852</v>
      </c>
      <c r="W22" s="195">
        <f t="shared" si="16"/>
        <v>1.0079763518707652E-2</v>
      </c>
      <c r="X22" s="193">
        <f t="shared" si="17"/>
        <v>4384014.6630375981</v>
      </c>
      <c r="Y22" s="32">
        <f t="shared" si="6"/>
        <v>5462730.8585408041</v>
      </c>
      <c r="Z22" s="197">
        <f t="shared" si="18"/>
        <v>1.8839935351272078E-3</v>
      </c>
      <c r="AB22" s="36">
        <f t="shared" si="7"/>
        <v>525243.96530550416</v>
      </c>
      <c r="AC22" s="37">
        <f t="shared" si="8"/>
        <v>5554511.0965841198</v>
      </c>
      <c r="AD22" s="37">
        <f t="shared" si="19"/>
        <v>5462730.8585408041</v>
      </c>
      <c r="AE22" s="37">
        <f t="shared" si="20"/>
        <v>11542485.920430429</v>
      </c>
      <c r="AF22" s="38">
        <f t="shared" si="21"/>
        <v>9.9519678968755239E-4</v>
      </c>
      <c r="AH22" s="228"/>
      <c r="AL22" s="11">
        <f t="shared" si="22"/>
        <v>1004.8263924906305</v>
      </c>
      <c r="AM22" s="105">
        <f t="shared" si="23"/>
        <v>4.9863366945401798E-2</v>
      </c>
      <c r="AN22" s="11">
        <f t="shared" si="24"/>
        <v>4986336.6945401793</v>
      </c>
    </row>
    <row r="23" spans="1:40">
      <c r="A23" s="246">
        <v>29</v>
      </c>
      <c r="B23" s="4" t="s">
        <v>10</v>
      </c>
      <c r="C23" s="32">
        <v>10409374</v>
      </c>
      <c r="D23" s="32">
        <v>1519021</v>
      </c>
      <c r="E23" s="34">
        <f t="shared" si="0"/>
        <v>0.1459281797349197</v>
      </c>
      <c r="F23" s="35">
        <f t="shared" si="9"/>
        <v>221667.96950911745</v>
      </c>
      <c r="G23" s="78">
        <f t="shared" si="1"/>
        <v>8.7020149068479203E-5</v>
      </c>
      <c r="H23" s="30">
        <v>40903</v>
      </c>
      <c r="I23" s="72">
        <f t="shared" si="2"/>
        <v>7.0712092886401146E-3</v>
      </c>
      <c r="J23" s="31">
        <f t="shared" si="10"/>
        <v>6.0105278953440974E-3</v>
      </c>
      <c r="K23" s="32">
        <v>7068.3</v>
      </c>
      <c r="L23" s="69">
        <f t="shared" si="3"/>
        <v>0.11017295234770028</v>
      </c>
      <c r="M23" s="33">
        <f t="shared" si="11"/>
        <v>1.6525942852155039E-2</v>
      </c>
      <c r="N23" s="78">
        <f t="shared" si="12"/>
        <v>2.2536470747499135E-2</v>
      </c>
      <c r="O23" s="193">
        <v>23646</v>
      </c>
      <c r="P23" s="193">
        <v>15246</v>
      </c>
      <c r="Q23" s="194">
        <v>2.0430424666000002</v>
      </c>
      <c r="R23" s="195">
        <f t="shared" si="13"/>
        <v>1.4174901888592301E-2</v>
      </c>
      <c r="S23" s="196">
        <f t="shared" si="4"/>
        <v>2.8959926518282615E-2</v>
      </c>
      <c r="T23" s="196">
        <f t="shared" si="14"/>
        <v>1.5020281182520606E-2</v>
      </c>
      <c r="U23" s="193">
        <f t="shared" si="15"/>
        <v>37019230.263467267</v>
      </c>
      <c r="V23" s="195">
        <f t="shared" si="5"/>
        <v>1.5509641873278237</v>
      </c>
      <c r="W23" s="195">
        <f t="shared" si="16"/>
        <v>2.060960238205228E-2</v>
      </c>
      <c r="X23" s="193">
        <f t="shared" si="17"/>
        <v>8963781.6278725676</v>
      </c>
      <c r="Y23" s="32">
        <f t="shared" si="6"/>
        <v>45983011.891339839</v>
      </c>
      <c r="Z23" s="197">
        <f t="shared" si="18"/>
        <v>1.5858679362450358E-2</v>
      </c>
      <c r="AB23" s="36">
        <f t="shared" si="7"/>
        <v>504638.30662678485</v>
      </c>
      <c r="AC23" s="37">
        <f t="shared" si="8"/>
        <v>65345592.699527599</v>
      </c>
      <c r="AD23" s="37">
        <f t="shared" si="19"/>
        <v>45983011.891339839</v>
      </c>
      <c r="AE23" s="37">
        <f t="shared" si="20"/>
        <v>111833242.89749423</v>
      </c>
      <c r="AF23" s="38">
        <f t="shared" si="21"/>
        <v>9.6422976020216107E-3</v>
      </c>
      <c r="AH23" s="228"/>
      <c r="AL23" s="11">
        <f t="shared" si="22"/>
        <v>103.70972161140716</v>
      </c>
      <c r="AM23" s="105">
        <f t="shared" si="23"/>
        <v>5.1464769866335714E-3</v>
      </c>
      <c r="AN23" s="11">
        <f t="shared" si="24"/>
        <v>514647.69866335712</v>
      </c>
    </row>
    <row r="24" spans="1:40">
      <c r="A24" s="246">
        <v>30</v>
      </c>
      <c r="B24" s="4" t="s">
        <v>135</v>
      </c>
      <c r="C24" s="32">
        <v>415292639</v>
      </c>
      <c r="D24" s="32">
        <v>99582374</v>
      </c>
      <c r="E24" s="34">
        <f t="shared" si="0"/>
        <v>0.23978843988130499</v>
      </c>
      <c r="F24" s="35">
        <f t="shared" si="9"/>
        <v>23878702.101136629</v>
      </c>
      <c r="G24" s="78">
        <f t="shared" si="1"/>
        <v>9.3740571585704431E-3</v>
      </c>
      <c r="H24" s="30">
        <v>397205</v>
      </c>
      <c r="I24" s="72">
        <f t="shared" si="2"/>
        <v>6.8667816186937305E-2</v>
      </c>
      <c r="J24" s="31">
        <f t="shared" si="10"/>
        <v>5.8367643758896706E-2</v>
      </c>
      <c r="K24" s="32">
        <v>1032</v>
      </c>
      <c r="L24" s="69">
        <f t="shared" si="3"/>
        <v>1.6085690593611857E-2</v>
      </c>
      <c r="M24" s="33">
        <f t="shared" si="11"/>
        <v>2.4128535890417784E-3</v>
      </c>
      <c r="N24" s="78">
        <f t="shared" si="12"/>
        <v>6.0780497347938486E-2</v>
      </c>
      <c r="O24" s="193">
        <v>49018</v>
      </c>
      <c r="P24" s="193">
        <v>87249</v>
      </c>
      <c r="Q24" s="194">
        <v>1.8532766358999999</v>
      </c>
      <c r="R24" s="195">
        <f t="shared" si="13"/>
        <v>8.1119376549769751E-2</v>
      </c>
      <c r="S24" s="196">
        <f t="shared" si="4"/>
        <v>0.15033664527846263</v>
      </c>
      <c r="T24" s="196">
        <f t="shared" si="14"/>
        <v>7.7973218705987155E-2</v>
      </c>
      <c r="U24" s="193">
        <f t="shared" si="15"/>
        <v>192174068.02075836</v>
      </c>
      <c r="V24" s="195">
        <f t="shared" si="5"/>
        <v>0.56181732741922541</v>
      </c>
      <c r="W24" s="195">
        <f t="shared" si="16"/>
        <v>7.4655700138420563E-3</v>
      </c>
      <c r="X24" s="193">
        <f t="shared" si="17"/>
        <v>3247017.4868560461</v>
      </c>
      <c r="Y24" s="32">
        <f t="shared" si="6"/>
        <v>195421085.5076144</v>
      </c>
      <c r="Z24" s="197">
        <f t="shared" si="18"/>
        <v>6.7397071402165387E-2</v>
      </c>
      <c r="AB24" s="36">
        <f t="shared" si="7"/>
        <v>54361069.032426916</v>
      </c>
      <c r="AC24" s="37">
        <f t="shared" si="8"/>
        <v>176236007.32665065</v>
      </c>
      <c r="AD24" s="37">
        <f t="shared" si="19"/>
        <v>195421085.5076144</v>
      </c>
      <c r="AE24" s="37">
        <f t="shared" si="20"/>
        <v>426018161.86669195</v>
      </c>
      <c r="AF24" s="38">
        <f t="shared" si="21"/>
        <v>3.6731420766811178E-2</v>
      </c>
      <c r="AH24" s="228"/>
      <c r="AL24" s="11">
        <f t="shared" si="22"/>
        <v>27.224647975053394</v>
      </c>
      <c r="AM24" s="105">
        <f t="shared" si="23"/>
        <v>1.350992193362532E-3</v>
      </c>
      <c r="AN24" s="11">
        <f t="shared" si="24"/>
        <v>135099.21933625321</v>
      </c>
    </row>
    <row r="25" spans="1:40">
      <c r="A25" s="246">
        <v>32</v>
      </c>
      <c r="B25" s="4" t="s">
        <v>11</v>
      </c>
      <c r="C25" s="32">
        <v>4596412</v>
      </c>
      <c r="D25" s="32">
        <v>940088</v>
      </c>
      <c r="E25" s="34">
        <f t="shared" si="0"/>
        <v>0.20452648718174088</v>
      </c>
      <c r="F25" s="35">
        <f t="shared" si="9"/>
        <v>192272.89628170841</v>
      </c>
      <c r="G25" s="78">
        <f t="shared" si="1"/>
        <v>7.5480531234686641E-5</v>
      </c>
      <c r="H25" s="30">
        <v>5506</v>
      </c>
      <c r="I25" s="72">
        <f t="shared" si="2"/>
        <v>9.5186363697656574E-4</v>
      </c>
      <c r="J25" s="31">
        <f t="shared" si="10"/>
        <v>8.0908409143008091E-4</v>
      </c>
      <c r="K25" s="32">
        <v>1888.6</v>
      </c>
      <c r="L25" s="69">
        <f t="shared" si="3"/>
        <v>2.9437437262689294E-2</v>
      </c>
      <c r="M25" s="33">
        <f t="shared" si="11"/>
        <v>4.4156155894033936E-3</v>
      </c>
      <c r="N25" s="78">
        <f t="shared" si="12"/>
        <v>5.2246996808334749E-3</v>
      </c>
      <c r="O25" s="193">
        <v>2284</v>
      </c>
      <c r="P25" s="193">
        <v>950</v>
      </c>
      <c r="Q25" s="194">
        <v>2.0503201405999998</v>
      </c>
      <c r="R25" s="195">
        <f t="shared" si="13"/>
        <v>8.8325834934820178E-4</v>
      </c>
      <c r="S25" s="196">
        <f t="shared" si="4"/>
        <v>1.8109623830217289E-3</v>
      </c>
      <c r="T25" s="196">
        <f t="shared" si="14"/>
        <v>9.3926910300624043E-4</v>
      </c>
      <c r="U25" s="193">
        <f t="shared" si="15"/>
        <v>2314937.9682726632</v>
      </c>
      <c r="V25" s="195">
        <f t="shared" si="5"/>
        <v>2.4042105263157896</v>
      </c>
      <c r="W25" s="195">
        <f t="shared" si="16"/>
        <v>3.1947754432346431E-2</v>
      </c>
      <c r="X25" s="193">
        <f t="shared" si="17"/>
        <v>13895110.100806063</v>
      </c>
      <c r="Y25" s="32">
        <f t="shared" si="6"/>
        <v>16210048.069078727</v>
      </c>
      <c r="Z25" s="197">
        <f t="shared" si="18"/>
        <v>5.5905419024072688E-3</v>
      </c>
      <c r="AB25" s="36">
        <f t="shared" si="7"/>
        <v>437718.94065117912</v>
      </c>
      <c r="AC25" s="37">
        <f t="shared" si="8"/>
        <v>15149270.759663306</v>
      </c>
      <c r="AD25" s="37">
        <f t="shared" si="19"/>
        <v>16210048.069078727</v>
      </c>
      <c r="AE25" s="37">
        <f t="shared" si="20"/>
        <v>31797037.769393213</v>
      </c>
      <c r="AF25" s="38">
        <f t="shared" si="21"/>
        <v>2.7415506614275283E-3</v>
      </c>
      <c r="AH25" s="228"/>
      <c r="AL25" s="11">
        <f t="shared" si="22"/>
        <v>364.75707491733851</v>
      </c>
      <c r="AM25" s="105">
        <f t="shared" si="23"/>
        <v>1.8100655007132746E-2</v>
      </c>
      <c r="AN25" s="11">
        <f t="shared" si="24"/>
        <v>1810065.5007132746</v>
      </c>
    </row>
    <row r="26" spans="1:40">
      <c r="A26" s="246">
        <v>33</v>
      </c>
      <c r="B26" s="4" t="s">
        <v>12</v>
      </c>
      <c r="C26" s="32">
        <v>459479979</v>
      </c>
      <c r="D26" s="32">
        <v>167034920.86000001</v>
      </c>
      <c r="E26" s="34">
        <f t="shared" si="0"/>
        <v>0.36353035713009818</v>
      </c>
      <c r="F26" s="35">
        <f t="shared" si="9"/>
        <v>60722264.433433488</v>
      </c>
      <c r="G26" s="78">
        <f t="shared" si="1"/>
        <v>2.3837726823927333E-2</v>
      </c>
      <c r="H26" s="30">
        <v>481213</v>
      </c>
      <c r="I26" s="72">
        <f t="shared" si="2"/>
        <v>8.3190911067999293E-2</v>
      </c>
      <c r="J26" s="31">
        <f t="shared" si="10"/>
        <v>7.0712274407799397E-2</v>
      </c>
      <c r="K26" s="32">
        <v>149.4</v>
      </c>
      <c r="L26" s="69">
        <f t="shared" si="3"/>
        <v>2.3286842777961352E-3</v>
      </c>
      <c r="M26" s="33">
        <f t="shared" si="11"/>
        <v>3.4930264166942025E-4</v>
      </c>
      <c r="N26" s="78">
        <f t="shared" si="12"/>
        <v>7.1061577049468819E-2</v>
      </c>
      <c r="O26" s="193">
        <v>95635</v>
      </c>
      <c r="P26" s="193">
        <v>113990</v>
      </c>
      <c r="Q26" s="194">
        <v>1.9916235985999999</v>
      </c>
      <c r="R26" s="195">
        <f t="shared" si="13"/>
        <v>0.10598170446547529</v>
      </c>
      <c r="S26" s="196">
        <f t="shared" si="4"/>
        <v>0.21107566363329158</v>
      </c>
      <c r="T26" s="196">
        <f t="shared" si="14"/>
        <v>0.10947596212157762</v>
      </c>
      <c r="U26" s="193">
        <f t="shared" si="15"/>
        <v>269816243.84033012</v>
      </c>
      <c r="V26" s="195">
        <f t="shared" si="5"/>
        <v>0.83897710325467145</v>
      </c>
      <c r="W26" s="195">
        <f t="shared" si="16"/>
        <v>1.1148538855378512E-2</v>
      </c>
      <c r="X26" s="193">
        <f t="shared" si="17"/>
        <v>4848859.5712303193</v>
      </c>
      <c r="Y26" s="32">
        <f t="shared" si="6"/>
        <v>274665103.41156042</v>
      </c>
      <c r="Z26" s="197">
        <f t="shared" si="18"/>
        <v>9.4726848631647736E-2</v>
      </c>
      <c r="AB26" s="36">
        <f t="shared" si="7"/>
        <v>138237295.9254781</v>
      </c>
      <c r="AC26" s="37">
        <f t="shared" si="8"/>
        <v>206046497.80738103</v>
      </c>
      <c r="AD26" s="37">
        <f t="shared" si="19"/>
        <v>274665103.41156042</v>
      </c>
      <c r="AE26" s="37">
        <f t="shared" si="20"/>
        <v>618948897.14441955</v>
      </c>
      <c r="AF26" s="38">
        <f t="shared" si="21"/>
        <v>5.3365969832242788E-2</v>
      </c>
      <c r="AH26" s="228"/>
      <c r="AL26" s="11">
        <f t="shared" si="22"/>
        <v>18.738533247751782</v>
      </c>
      <c r="AM26" s="105">
        <f t="shared" si="23"/>
        <v>9.2987840121841871E-4</v>
      </c>
      <c r="AN26" s="11">
        <f t="shared" si="24"/>
        <v>92987.840121841873</v>
      </c>
    </row>
    <row r="27" spans="1:40">
      <c r="A27" s="246">
        <v>34</v>
      </c>
      <c r="B27" s="4" t="s">
        <v>136</v>
      </c>
      <c r="C27" s="32">
        <v>12996129</v>
      </c>
      <c r="D27" s="32">
        <v>4545524</v>
      </c>
      <c r="E27" s="34">
        <f t="shared" si="0"/>
        <v>0.34975984002621086</v>
      </c>
      <c r="F27" s="35">
        <f t="shared" si="9"/>
        <v>1589841.7470753021</v>
      </c>
      <c r="G27" s="78">
        <f t="shared" si="1"/>
        <v>6.2412384672515253E-4</v>
      </c>
      <c r="H27" s="30">
        <v>14109</v>
      </c>
      <c r="I27" s="72">
        <f t="shared" si="2"/>
        <v>2.4391289600621804E-3</v>
      </c>
      <c r="J27" s="31">
        <f t="shared" si="10"/>
        <v>2.0732596160528533E-3</v>
      </c>
      <c r="K27" s="32">
        <v>2478.8000000000002</v>
      </c>
      <c r="L27" s="69">
        <f t="shared" si="3"/>
        <v>3.8636831243648327E-2</v>
      </c>
      <c r="M27" s="33">
        <f t="shared" si="11"/>
        <v>5.7955246865472486E-3</v>
      </c>
      <c r="N27" s="78">
        <f t="shared" si="12"/>
        <v>7.8687843026001014E-3</v>
      </c>
      <c r="O27" s="193">
        <v>5621</v>
      </c>
      <c r="P27" s="193">
        <v>1660</v>
      </c>
      <c r="Q27" s="194">
        <v>2.1173054283999999</v>
      </c>
      <c r="R27" s="195">
        <f t="shared" si="13"/>
        <v>1.543377747282121E-3</v>
      </c>
      <c r="S27" s="196">
        <f t="shared" si="4"/>
        <v>3.2678020823921979E-3</v>
      </c>
      <c r="T27" s="196">
        <f t="shared" si="14"/>
        <v>1.6948698435187855E-3</v>
      </c>
      <c r="U27" s="193">
        <f t="shared" si="15"/>
        <v>4177203.8912855801</v>
      </c>
      <c r="V27" s="195">
        <f t="shared" si="5"/>
        <v>3.3861445783132531</v>
      </c>
      <c r="W27" s="195">
        <f t="shared" si="16"/>
        <v>4.499594119411314E-2</v>
      </c>
      <c r="X27" s="193">
        <f t="shared" si="17"/>
        <v>19570187.892410096</v>
      </c>
      <c r="Y27" s="32">
        <f t="shared" si="6"/>
        <v>23747391.783695675</v>
      </c>
      <c r="Z27" s="197">
        <f t="shared" si="18"/>
        <v>8.1900305461079376E-3</v>
      </c>
      <c r="AB27" s="36">
        <f t="shared" si="7"/>
        <v>3619354.8793960977</v>
      </c>
      <c r="AC27" s="37">
        <f t="shared" si="8"/>
        <v>22815922.681025915</v>
      </c>
      <c r="AD27" s="37">
        <f t="shared" si="19"/>
        <v>23747391.783695675</v>
      </c>
      <c r="AE27" s="37">
        <f t="shared" si="20"/>
        <v>50182669.344117686</v>
      </c>
      <c r="AF27" s="38">
        <f t="shared" si="21"/>
        <v>4.3267656355395843E-3</v>
      </c>
      <c r="AH27" s="228"/>
      <c r="AL27" s="11">
        <f t="shared" si="22"/>
        <v>231.11952073070663</v>
      </c>
      <c r="AM27" s="105">
        <f t="shared" si="23"/>
        <v>1.1469043365665857E-2</v>
      </c>
      <c r="AN27" s="11">
        <f t="shared" si="24"/>
        <v>1146904.3365665856</v>
      </c>
    </row>
    <row r="28" spans="1:40">
      <c r="A28" s="246">
        <v>35</v>
      </c>
      <c r="B28" s="4" t="s">
        <v>13</v>
      </c>
      <c r="C28" s="32">
        <v>844965</v>
      </c>
      <c r="D28" s="32">
        <v>298339</v>
      </c>
      <c r="E28" s="34">
        <f t="shared" si="0"/>
        <v>0.35307852987993588</v>
      </c>
      <c r="F28" s="35">
        <f t="shared" si="9"/>
        <v>105337.09552585019</v>
      </c>
      <c r="G28" s="78">
        <f t="shared" si="1"/>
        <v>4.1352161863525763E-5</v>
      </c>
      <c r="H28" s="30">
        <v>1808</v>
      </c>
      <c r="I28" s="72">
        <f t="shared" si="2"/>
        <v>3.1256256005332924E-4</v>
      </c>
      <c r="J28" s="31">
        <f t="shared" si="10"/>
        <v>2.6567817604532983E-4</v>
      </c>
      <c r="K28" s="32">
        <v>387.9</v>
      </c>
      <c r="L28" s="69">
        <f t="shared" si="3"/>
        <v>6.0461621911453867E-3</v>
      </c>
      <c r="M28" s="33">
        <f t="shared" si="11"/>
        <v>9.0692432867180801E-4</v>
      </c>
      <c r="N28" s="78">
        <f t="shared" si="12"/>
        <v>1.1726025047171379E-3</v>
      </c>
      <c r="O28" s="193">
        <v>196</v>
      </c>
      <c r="P28" s="193">
        <v>185</v>
      </c>
      <c r="Q28" s="194">
        <v>1.7757863003000001</v>
      </c>
      <c r="R28" s="195">
        <f t="shared" si="13"/>
        <v>1.7200294171517615E-4</v>
      </c>
      <c r="S28" s="196">
        <f t="shared" si="4"/>
        <v>3.054404675091092E-4</v>
      </c>
      <c r="T28" s="196">
        <f t="shared" si="14"/>
        <v>1.5841896917835949E-4</v>
      </c>
      <c r="U28" s="193">
        <f t="shared" si="15"/>
        <v>390441.97820607398</v>
      </c>
      <c r="V28" s="195">
        <f t="shared" si="5"/>
        <v>1.0594594594594595</v>
      </c>
      <c r="W28" s="195">
        <f t="shared" si="16"/>
        <v>1.4078363883426199E-2</v>
      </c>
      <c r="X28" s="193">
        <f t="shared" si="17"/>
        <v>6123135.0896248622</v>
      </c>
      <c r="Y28" s="32">
        <f t="shared" si="6"/>
        <v>6513577.0678309361</v>
      </c>
      <c r="Z28" s="197">
        <f t="shared" si="18"/>
        <v>2.2464107063155355E-3</v>
      </c>
      <c r="AB28" s="36">
        <f t="shared" si="7"/>
        <v>239805.20789207894</v>
      </c>
      <c r="AC28" s="37">
        <f t="shared" si="8"/>
        <v>3400017.9766476955</v>
      </c>
      <c r="AD28" s="37">
        <f t="shared" si="19"/>
        <v>6513577.067830937</v>
      </c>
      <c r="AE28" s="37">
        <f t="shared" si="20"/>
        <v>10153400.252370711</v>
      </c>
      <c r="AF28" s="38">
        <f t="shared" si="21"/>
        <v>8.7542938368993101E-4</v>
      </c>
      <c r="AH28" s="228"/>
      <c r="AL28" s="11">
        <f t="shared" si="22"/>
        <v>1142.2965902572341</v>
      </c>
      <c r="AM28" s="105">
        <f t="shared" si="23"/>
        <v>5.6685169165686361E-2</v>
      </c>
      <c r="AN28" s="11">
        <f t="shared" si="24"/>
        <v>5668516.916568636</v>
      </c>
    </row>
    <row r="29" spans="1:40">
      <c r="A29" s="246">
        <v>61</v>
      </c>
      <c r="B29" s="4" t="s">
        <v>14</v>
      </c>
      <c r="C29" s="32">
        <v>1658016</v>
      </c>
      <c r="D29" s="32">
        <v>227416</v>
      </c>
      <c r="E29" s="34">
        <f t="shared" si="0"/>
        <v>0.13716152316986086</v>
      </c>
      <c r="F29" s="35">
        <f t="shared" si="9"/>
        <v>31192.724953197077</v>
      </c>
      <c r="G29" s="78">
        <f t="shared" si="1"/>
        <v>1.2245321600997634E-5</v>
      </c>
      <c r="H29" s="30">
        <v>6282</v>
      </c>
      <c r="I29" s="72">
        <f t="shared" si="2"/>
        <v>1.0860165941675964E-3</v>
      </c>
      <c r="J29" s="31">
        <f t="shared" si="10"/>
        <v>9.2311410504245688E-4</v>
      </c>
      <c r="K29" s="32">
        <v>1306.7</v>
      </c>
      <c r="L29" s="69">
        <f t="shared" si="3"/>
        <v>2.0367414630496718E-2</v>
      </c>
      <c r="M29" s="33">
        <f t="shared" si="11"/>
        <v>3.0551121945745076E-3</v>
      </c>
      <c r="N29" s="78">
        <f t="shared" si="12"/>
        <v>3.9782262996169646E-3</v>
      </c>
      <c r="O29" s="193">
        <v>3611</v>
      </c>
      <c r="P29" s="193">
        <v>3897</v>
      </c>
      <c r="Q29" s="194">
        <v>2.6101222018999999</v>
      </c>
      <c r="R29" s="195">
        <f t="shared" si="13"/>
        <v>3.6232187235894133E-3</v>
      </c>
      <c r="S29" s="196">
        <f t="shared" si="4"/>
        <v>9.4570436327805069E-3</v>
      </c>
      <c r="T29" s="196">
        <f t="shared" si="14"/>
        <v>4.9049659856717437E-3</v>
      </c>
      <c r="U29" s="193">
        <f t="shared" si="15"/>
        <v>12088859.259796208</v>
      </c>
      <c r="V29" s="195">
        <f t="shared" si="5"/>
        <v>0.92661021298434698</v>
      </c>
      <c r="W29" s="195">
        <f t="shared" si="16"/>
        <v>1.2313029668118099E-2</v>
      </c>
      <c r="X29" s="193">
        <f t="shared" si="17"/>
        <v>5355334.230933194</v>
      </c>
      <c r="Y29" s="32">
        <f t="shared" si="6"/>
        <v>17444193.490729403</v>
      </c>
      <c r="Z29" s="197">
        <f t="shared" si="18"/>
        <v>6.0161755380386973E-3</v>
      </c>
      <c r="AB29" s="36">
        <f t="shared" si="7"/>
        <v>71011.810747014504</v>
      </c>
      <c r="AC29" s="37">
        <f t="shared" si="8"/>
        <v>11535060.584859617</v>
      </c>
      <c r="AD29" s="37">
        <f t="shared" si="19"/>
        <v>17444193.490729403</v>
      </c>
      <c r="AE29" s="37">
        <f t="shared" si="20"/>
        <v>29050265.886336036</v>
      </c>
      <c r="AF29" s="38">
        <f t="shared" si="21"/>
        <v>2.5047231202144134E-3</v>
      </c>
      <c r="AH29" s="228"/>
      <c r="AL29" s="11">
        <f t="shared" si="22"/>
        <v>399.24572577682608</v>
      </c>
      <c r="AM29" s="105">
        <f t="shared" si="23"/>
        <v>1.9812115082336244E-2</v>
      </c>
      <c r="AN29" s="11">
        <f t="shared" si="24"/>
        <v>1981211.5082336243</v>
      </c>
    </row>
    <row r="30" spans="1:40">
      <c r="A30" s="246">
        <v>36</v>
      </c>
      <c r="B30" s="4" t="s">
        <v>15</v>
      </c>
      <c r="C30" s="32">
        <v>69984471</v>
      </c>
      <c r="D30" s="32">
        <v>16361057</v>
      </c>
      <c r="E30" s="34">
        <f t="shared" si="0"/>
        <v>0.23378124841438039</v>
      </c>
      <c r="F30" s="35">
        <f t="shared" si="9"/>
        <v>3824908.3308388372</v>
      </c>
      <c r="G30" s="78">
        <f t="shared" si="1"/>
        <v>1.5015434745035336E-3</v>
      </c>
      <c r="H30" s="30">
        <v>102149</v>
      </c>
      <c r="I30" s="72">
        <f t="shared" si="2"/>
        <v>1.7659266010446643E-2</v>
      </c>
      <c r="J30" s="31">
        <f t="shared" si="10"/>
        <v>1.5010376108879647E-2</v>
      </c>
      <c r="K30" s="32">
        <v>184.5</v>
      </c>
      <c r="L30" s="69">
        <f t="shared" si="3"/>
        <v>2.8757848008928175E-3</v>
      </c>
      <c r="M30" s="33">
        <f t="shared" si="11"/>
        <v>4.3136772013392259E-4</v>
      </c>
      <c r="N30" s="78">
        <f t="shared" si="12"/>
        <v>1.544174382901357E-2</v>
      </c>
      <c r="O30" s="193">
        <v>12989</v>
      </c>
      <c r="P30" s="193">
        <v>23008</v>
      </c>
      <c r="Q30" s="194">
        <v>1.8972127424</v>
      </c>
      <c r="R30" s="195">
        <f t="shared" si="13"/>
        <v>2.1391587475582556E-2</v>
      </c>
      <c r="S30" s="196">
        <f t="shared" si="4"/>
        <v>4.0584392338839474E-2</v>
      </c>
      <c r="T30" s="196">
        <f t="shared" si="14"/>
        <v>2.1049396798927165E-2</v>
      </c>
      <c r="U30" s="193">
        <f t="shared" si="15"/>
        <v>51878687.0590268</v>
      </c>
      <c r="V30" s="195">
        <f t="shared" si="5"/>
        <v>0.56454276773296241</v>
      </c>
      <c r="W30" s="195">
        <f t="shared" si="16"/>
        <v>7.5017863505189922E-3</v>
      </c>
      <c r="X30" s="193">
        <f t="shared" si="17"/>
        <v>3262769.1412215992</v>
      </c>
      <c r="Y30" s="32">
        <f t="shared" si="6"/>
        <v>55141456.200248398</v>
      </c>
      <c r="Z30" s="197">
        <f t="shared" si="18"/>
        <v>1.901725523166594E-2</v>
      </c>
      <c r="AB30" s="36">
        <f t="shared" si="7"/>
        <v>8707596.6245894711</v>
      </c>
      <c r="AC30" s="37">
        <f t="shared" si="8"/>
        <v>44774087.039921209</v>
      </c>
      <c r="AD30" s="37">
        <f t="shared" si="19"/>
        <v>55141456.200248398</v>
      </c>
      <c r="AE30" s="37">
        <f t="shared" si="20"/>
        <v>108623139.86475909</v>
      </c>
      <c r="AF30" s="38">
        <f t="shared" si="21"/>
        <v>9.3655215024216424E-3</v>
      </c>
      <c r="AH30" s="228"/>
      <c r="AL30" s="11">
        <f t="shared" si="22"/>
        <v>106.77462005094219</v>
      </c>
      <c r="AM30" s="105">
        <f t="shared" si="23"/>
        <v>5.2985690860081897E-3</v>
      </c>
      <c r="AN30" s="11">
        <f t="shared" si="24"/>
        <v>529856.90860081895</v>
      </c>
    </row>
    <row r="31" spans="1:40">
      <c r="A31" s="246">
        <v>28</v>
      </c>
      <c r="B31" s="4" t="s">
        <v>16</v>
      </c>
      <c r="C31" s="32">
        <v>534177051</v>
      </c>
      <c r="D31" s="32">
        <v>367511761.92000002</v>
      </c>
      <c r="E31" s="34">
        <f t="shared" si="0"/>
        <v>0.68799616387863138</v>
      </c>
      <c r="F31" s="35">
        <f t="shared" si="9"/>
        <v>252846682.38123688</v>
      </c>
      <c r="G31" s="78">
        <f t="shared" si="1"/>
        <v>9.9259969949698351E-2</v>
      </c>
      <c r="H31" s="30">
        <v>643143</v>
      </c>
      <c r="I31" s="72">
        <f t="shared" si="2"/>
        <v>0.11118496823029775</v>
      </c>
      <c r="J31" s="31">
        <f t="shared" si="10"/>
        <v>9.4507222995753079E-2</v>
      </c>
      <c r="K31" s="32">
        <v>118.4</v>
      </c>
      <c r="L31" s="69">
        <f t="shared" si="3"/>
        <v>1.8454900836081822E-3</v>
      </c>
      <c r="M31" s="33">
        <f t="shared" si="11"/>
        <v>2.7682351254122733E-4</v>
      </c>
      <c r="N31" s="78">
        <f t="shared" si="12"/>
        <v>9.4784046508294306E-2</v>
      </c>
      <c r="O31" s="193">
        <v>113831</v>
      </c>
      <c r="P31" s="193">
        <v>95688</v>
      </c>
      <c r="Q31" s="194">
        <v>1.8797706219999999</v>
      </c>
      <c r="R31" s="195">
        <f t="shared" si="13"/>
        <v>8.8965499928874453E-2</v>
      </c>
      <c r="S31" s="196">
        <f t="shared" si="4"/>
        <v>0.16723473313784129</v>
      </c>
      <c r="T31" s="196">
        <f t="shared" si="14"/>
        <v>8.6737537597976422E-2</v>
      </c>
      <c r="U31" s="193">
        <f t="shared" si="15"/>
        <v>213774751.47151649</v>
      </c>
      <c r="V31" s="195">
        <f t="shared" si="5"/>
        <v>1.1896058021904523</v>
      </c>
      <c r="W31" s="195">
        <f t="shared" si="16"/>
        <v>1.5807781233665195E-2</v>
      </c>
      <c r="X31" s="193">
        <f t="shared" si="17"/>
        <v>6875314.5438241474</v>
      </c>
      <c r="Y31" s="32">
        <f t="shared" si="6"/>
        <v>220650066.01534063</v>
      </c>
      <c r="Z31" s="197">
        <f t="shared" si="18"/>
        <v>7.6098074143329725E-2</v>
      </c>
      <c r="AB31" s="36">
        <f t="shared" si="7"/>
        <v>575618218.16489244</v>
      </c>
      <c r="AC31" s="37">
        <f t="shared" si="8"/>
        <v>274830951.43596947</v>
      </c>
      <c r="AD31" s="37">
        <f t="shared" si="19"/>
        <v>220650066.01534063</v>
      </c>
      <c r="AE31" s="37">
        <f t="shared" si="20"/>
        <v>1071099235.6162026</v>
      </c>
      <c r="AF31" s="38">
        <f t="shared" si="21"/>
        <v>9.2350515137755163E-2</v>
      </c>
      <c r="AH31" s="228"/>
      <c r="AL31" s="11">
        <f t="shared" si="22"/>
        <v>10.828309928843867</v>
      </c>
      <c r="AM31" s="105">
        <f t="shared" si="23"/>
        <v>5.37342565258619E-4</v>
      </c>
      <c r="AN31" s="11">
        <f t="shared" si="24"/>
        <v>53734.2565258619</v>
      </c>
    </row>
    <row r="32" spans="1:40">
      <c r="A32" s="246">
        <v>37</v>
      </c>
      <c r="B32" s="4" t="s">
        <v>137</v>
      </c>
      <c r="C32" s="32">
        <v>1059673</v>
      </c>
      <c r="D32" s="32">
        <v>291621.78000000003</v>
      </c>
      <c r="E32" s="34">
        <f t="shared" si="0"/>
        <v>0.27519978332938561</v>
      </c>
      <c r="F32" s="35">
        <f t="shared" si="9"/>
        <v>80254.250670129768</v>
      </c>
      <c r="G32" s="78">
        <f t="shared" si="1"/>
        <v>3.1505394632157448E-5</v>
      </c>
      <c r="H32" s="30">
        <v>1959</v>
      </c>
      <c r="I32" s="72">
        <f t="shared" si="2"/>
        <v>3.3866706589849116E-4</v>
      </c>
      <c r="J32" s="31">
        <f t="shared" si="10"/>
        <v>2.8786700601371749E-4</v>
      </c>
      <c r="K32" s="32">
        <v>496.6</v>
      </c>
      <c r="L32" s="69">
        <f t="shared" si="3"/>
        <v>7.7404592527012097E-3</v>
      </c>
      <c r="M32" s="33">
        <f t="shared" si="11"/>
        <v>1.1610688879051814E-3</v>
      </c>
      <c r="N32" s="78">
        <f t="shared" si="12"/>
        <v>1.4489358939188989E-3</v>
      </c>
      <c r="O32" s="193">
        <v>188</v>
      </c>
      <c r="P32" s="193">
        <v>192</v>
      </c>
      <c r="Q32" s="194">
        <v>1.9505591721</v>
      </c>
      <c r="R32" s="195">
        <f t="shared" si="13"/>
        <v>1.7851116113142606E-4</v>
      </c>
      <c r="S32" s="196">
        <f t="shared" si="4"/>
        <v>3.4819658266712413E-4</v>
      </c>
      <c r="T32" s="196">
        <f t="shared" si="14"/>
        <v>1.8059474616246836E-4</v>
      </c>
      <c r="U32" s="193">
        <f t="shared" si="15"/>
        <v>445096.76026177587</v>
      </c>
      <c r="V32" s="195">
        <f t="shared" si="5"/>
        <v>0.97916666666666663</v>
      </c>
      <c r="W32" s="195">
        <f t="shared" si="16"/>
        <v>1.3011413049148681E-2</v>
      </c>
      <c r="X32" s="193">
        <f t="shared" si="17"/>
        <v>5659083.7164421957</v>
      </c>
      <c r="Y32" s="32">
        <f t="shared" si="6"/>
        <v>6104180.4767039716</v>
      </c>
      <c r="Z32" s="197">
        <f t="shared" si="18"/>
        <v>2.1052174916104003E-3</v>
      </c>
      <c r="AB32" s="36">
        <f t="shared" si="7"/>
        <v>182702.84717932611</v>
      </c>
      <c r="AC32" s="37">
        <f t="shared" si="8"/>
        <v>4201260.0745064346</v>
      </c>
      <c r="AD32" s="37">
        <f t="shared" si="19"/>
        <v>6104180.4767039716</v>
      </c>
      <c r="AE32" s="37">
        <f t="shared" si="20"/>
        <v>10488143.398389732</v>
      </c>
      <c r="AF32" s="38">
        <f t="shared" si="21"/>
        <v>9.0429104369840329E-4</v>
      </c>
      <c r="AH32" s="228"/>
      <c r="AL32" s="11">
        <f t="shared" si="22"/>
        <v>1105.8386644084881</v>
      </c>
      <c r="AM32" s="105">
        <f t="shared" si="23"/>
        <v>5.4875986058783417E-2</v>
      </c>
      <c r="AN32" s="11">
        <f t="shared" si="24"/>
        <v>5487598.6058783419</v>
      </c>
    </row>
    <row r="33" spans="1:40">
      <c r="A33" s="246">
        <v>39</v>
      </c>
      <c r="B33" s="4" t="s">
        <v>17</v>
      </c>
      <c r="C33" s="32">
        <v>2387896</v>
      </c>
      <c r="D33" s="32">
        <v>630053</v>
      </c>
      <c r="E33" s="34">
        <f t="shared" si="0"/>
        <v>0.2638527808581278</v>
      </c>
      <c r="F33" s="35">
        <f t="shared" si="9"/>
        <v>166241.236138006</v>
      </c>
      <c r="G33" s="78">
        <f t="shared" si="1"/>
        <v>6.5261287781419935E-5</v>
      </c>
      <c r="H33" s="30">
        <v>16086</v>
      </c>
      <c r="I33" s="72">
        <f t="shared" si="2"/>
        <v>2.7809078213594327E-3</v>
      </c>
      <c r="J33" s="31">
        <f t="shared" si="10"/>
        <v>2.3637716481555177E-3</v>
      </c>
      <c r="K33" s="32">
        <v>170.6</v>
      </c>
      <c r="L33" s="69">
        <f t="shared" si="3"/>
        <v>2.6591267589827351E-3</v>
      </c>
      <c r="M33" s="33">
        <f t="shared" si="11"/>
        <v>3.9886901384741024E-4</v>
      </c>
      <c r="N33" s="78">
        <f t="shared" si="12"/>
        <v>2.762640662002928E-3</v>
      </c>
      <c r="O33" s="193">
        <v>3006</v>
      </c>
      <c r="P33" s="193">
        <v>3272</v>
      </c>
      <c r="Q33" s="194">
        <v>1.6415123341</v>
      </c>
      <c r="R33" s="195">
        <f t="shared" si="13"/>
        <v>3.0421277042813858E-3</v>
      </c>
      <c r="S33" s="196">
        <f t="shared" si="4"/>
        <v>4.9936901484852123E-3</v>
      </c>
      <c r="T33" s="196">
        <f t="shared" si="14"/>
        <v>2.5900145195906737E-3</v>
      </c>
      <c r="U33" s="193">
        <f t="shared" si="15"/>
        <v>6383392.0764431842</v>
      </c>
      <c r="V33" s="195">
        <f t="shared" si="5"/>
        <v>0.91870415647921755</v>
      </c>
      <c r="W33" s="195">
        <f t="shared" si="16"/>
        <v>1.2207971999919139E-2</v>
      </c>
      <c r="X33" s="193">
        <f t="shared" si="17"/>
        <v>5309641.2583754584</v>
      </c>
      <c r="Y33" s="32">
        <f t="shared" si="6"/>
        <v>11693033.334818643</v>
      </c>
      <c r="Z33" s="197">
        <f t="shared" si="18"/>
        <v>4.0327081416399431E-3</v>
      </c>
      <c r="AB33" s="36">
        <f t="shared" si="7"/>
        <v>378456.55410659709</v>
      </c>
      <c r="AC33" s="37">
        <f t="shared" si="8"/>
        <v>8010410.9244536255</v>
      </c>
      <c r="AD33" s="37">
        <f t="shared" si="19"/>
        <v>11693033.334818643</v>
      </c>
      <c r="AE33" s="37">
        <f t="shared" si="20"/>
        <v>20081900.813378863</v>
      </c>
      <c r="AF33" s="38">
        <f t="shared" si="21"/>
        <v>1.7314678448014272E-3</v>
      </c>
      <c r="AH33" s="228"/>
      <c r="AL33" s="11">
        <f t="shared" si="22"/>
        <v>577.54465553744353</v>
      </c>
      <c r="AM33" s="105">
        <f t="shared" si="23"/>
        <v>2.8659996693595764E-2</v>
      </c>
      <c r="AN33" s="11">
        <f t="shared" si="24"/>
        <v>2865999.6693595764</v>
      </c>
    </row>
    <row r="34" spans="1:40">
      <c r="A34" s="246">
        <v>38</v>
      </c>
      <c r="B34" s="4" t="s">
        <v>18</v>
      </c>
      <c r="C34" s="32">
        <v>708159</v>
      </c>
      <c r="D34" s="32">
        <v>344639</v>
      </c>
      <c r="E34" s="34">
        <f t="shared" si="0"/>
        <v>0.48666895428851431</v>
      </c>
      <c r="F34" s="35">
        <f t="shared" si="9"/>
        <v>167725.10173703928</v>
      </c>
      <c r="G34" s="78">
        <f t="shared" si="1"/>
        <v>6.5843808593567103E-5</v>
      </c>
      <c r="H34" s="30">
        <v>1386</v>
      </c>
      <c r="I34" s="72">
        <f t="shared" si="2"/>
        <v>2.3960824570459864E-4</v>
      </c>
      <c r="J34" s="31">
        <f t="shared" si="10"/>
        <v>2.0366700884890884E-4</v>
      </c>
      <c r="K34" s="32">
        <v>443.2</v>
      </c>
      <c r="L34" s="69">
        <f t="shared" si="3"/>
        <v>6.9081182859387349E-3</v>
      </c>
      <c r="M34" s="33">
        <f t="shared" si="11"/>
        <v>1.0362177428908102E-3</v>
      </c>
      <c r="N34" s="78">
        <f t="shared" si="12"/>
        <v>1.239884751739719E-3</v>
      </c>
      <c r="O34" s="193">
        <v>237</v>
      </c>
      <c r="P34" s="193">
        <v>131</v>
      </c>
      <c r="Q34" s="194">
        <v>2.2584083591000002</v>
      </c>
      <c r="R34" s="195">
        <f t="shared" si="13"/>
        <v>1.2179667764696256E-4</v>
      </c>
      <c r="S34" s="196">
        <f t="shared" si="4"/>
        <v>2.7506663490850839E-4</v>
      </c>
      <c r="T34" s="196">
        <f t="shared" si="14"/>
        <v>1.426653550949875E-4</v>
      </c>
      <c r="U34" s="193">
        <f t="shared" si="15"/>
        <v>351615.36370082665</v>
      </c>
      <c r="V34" s="195">
        <f t="shared" si="5"/>
        <v>1.8091603053435115</v>
      </c>
      <c r="W34" s="195">
        <f t="shared" si="16"/>
        <v>2.4040577366755789E-2</v>
      </c>
      <c r="X34" s="193">
        <f t="shared" si="17"/>
        <v>10456023.446198866</v>
      </c>
      <c r="Y34" s="32">
        <f t="shared" si="6"/>
        <v>10807638.809899691</v>
      </c>
      <c r="Z34" s="197">
        <f t="shared" si="18"/>
        <v>3.7273521568441073E-3</v>
      </c>
      <c r="AB34" s="36">
        <f t="shared" si="7"/>
        <v>381834.64894283412</v>
      </c>
      <c r="AC34" s="37">
        <f t="shared" si="8"/>
        <v>3595106.1232837196</v>
      </c>
      <c r="AD34" s="37">
        <f t="shared" si="19"/>
        <v>10807638.809899691</v>
      </c>
      <c r="AE34" s="37">
        <f t="shared" si="20"/>
        <v>14784579.582126245</v>
      </c>
      <c r="AF34" s="38">
        <f t="shared" si="21"/>
        <v>1.2747311314427398E-3</v>
      </c>
      <c r="AH34" s="228"/>
      <c r="AL34" s="11">
        <f t="shared" si="22"/>
        <v>784.47915433602122</v>
      </c>
      <c r="AM34" s="105">
        <f t="shared" si="23"/>
        <v>3.8928885851334027E-2</v>
      </c>
      <c r="AN34" s="11">
        <f t="shared" si="24"/>
        <v>3892888.5851334026</v>
      </c>
    </row>
    <row r="35" spans="1:40">
      <c r="A35" s="246">
        <v>40</v>
      </c>
      <c r="B35" s="4" t="s">
        <v>19</v>
      </c>
      <c r="C35" s="32">
        <v>2080067</v>
      </c>
      <c r="D35" s="32">
        <v>650893</v>
      </c>
      <c r="E35" s="34">
        <f t="shared" si="0"/>
        <v>0.31291924731270676</v>
      </c>
      <c r="F35" s="35">
        <f t="shared" si="9"/>
        <v>203676.94764110964</v>
      </c>
      <c r="G35" s="78">
        <f t="shared" si="1"/>
        <v>7.9957417324622485E-5</v>
      </c>
      <c r="H35" s="30">
        <v>7026</v>
      </c>
      <c r="I35" s="72">
        <f t="shared" si="2"/>
        <v>1.2146374706497186E-3</v>
      </c>
      <c r="J35" s="31">
        <f t="shared" si="10"/>
        <v>1.0324418500522608E-3</v>
      </c>
      <c r="K35" s="32">
        <v>127.8</v>
      </c>
      <c r="L35" s="69">
        <f t="shared" si="3"/>
        <v>1.9920070328135614E-3</v>
      </c>
      <c r="M35" s="33">
        <f t="shared" si="11"/>
        <v>2.9880105492203422E-4</v>
      </c>
      <c r="N35" s="78">
        <f t="shared" si="12"/>
        <v>1.331242904974295E-3</v>
      </c>
      <c r="O35" s="193">
        <v>2843</v>
      </c>
      <c r="P35" s="193">
        <v>1571</v>
      </c>
      <c r="Q35" s="194">
        <v>1.4705313694</v>
      </c>
      <c r="R35" s="195">
        <f t="shared" si="13"/>
        <v>1.4606303861326581E-3</v>
      </c>
      <c r="S35" s="196">
        <f t="shared" si="4"/>
        <v>2.1479028019069082E-3</v>
      </c>
      <c r="T35" s="196">
        <f t="shared" si="14"/>
        <v>1.1140257561426585E-3</v>
      </c>
      <c r="U35" s="193">
        <f t="shared" si="15"/>
        <v>2745646.069134214</v>
      </c>
      <c r="V35" s="195">
        <f t="shared" si="5"/>
        <v>1.8096753660089115</v>
      </c>
      <c r="W35" s="195">
        <f t="shared" si="16"/>
        <v>2.4047421622479592E-2</v>
      </c>
      <c r="X35" s="193">
        <f t="shared" si="17"/>
        <v>10459000.234036699</v>
      </c>
      <c r="Y35" s="32">
        <f t="shared" si="6"/>
        <v>13204646.303170912</v>
      </c>
      <c r="Z35" s="197">
        <f t="shared" si="18"/>
        <v>4.554035136093198E-3</v>
      </c>
      <c r="AB35" s="36">
        <f t="shared" si="7"/>
        <v>463680.83843658032</v>
      </c>
      <c r="AC35" s="37">
        <f t="shared" si="8"/>
        <v>3860003.5305989315</v>
      </c>
      <c r="AD35" s="37">
        <f t="shared" si="19"/>
        <v>13204646.303170912</v>
      </c>
      <c r="AE35" s="37">
        <f t="shared" si="20"/>
        <v>17528330.672206424</v>
      </c>
      <c r="AF35" s="38">
        <f t="shared" si="21"/>
        <v>1.5112982189291839E-3</v>
      </c>
      <c r="AH35" s="228"/>
      <c r="AL35" s="11">
        <f t="shared" si="22"/>
        <v>661.68277542769852</v>
      </c>
      <c r="AM35" s="105">
        <f t="shared" si="23"/>
        <v>3.2835255203461297E-2</v>
      </c>
      <c r="AN35" s="11">
        <f t="shared" si="24"/>
        <v>3283525.5203461298</v>
      </c>
    </row>
    <row r="36" spans="1:40">
      <c r="A36" s="246">
        <v>41</v>
      </c>
      <c r="B36" s="4" t="s">
        <v>20</v>
      </c>
      <c r="C36" s="32">
        <v>619036</v>
      </c>
      <c r="D36" s="32">
        <v>121874</v>
      </c>
      <c r="E36" s="34">
        <f t="shared" si="0"/>
        <v>0.19687707984672942</v>
      </c>
      <c r="F36" s="35">
        <f t="shared" si="9"/>
        <v>23994.197229240301</v>
      </c>
      <c r="G36" s="78">
        <f t="shared" si="1"/>
        <v>9.4193970571878259E-6</v>
      </c>
      <c r="H36" s="30">
        <v>3298</v>
      </c>
      <c r="I36" s="72">
        <f t="shared" si="2"/>
        <v>5.7015006806188052E-4</v>
      </c>
      <c r="J36" s="31">
        <f t="shared" si="10"/>
        <v>4.8462755785259843E-4</v>
      </c>
      <c r="K36" s="32">
        <v>560.5</v>
      </c>
      <c r="L36" s="69">
        <f t="shared" si="3"/>
        <v>8.7364627691079895E-3</v>
      </c>
      <c r="M36" s="33">
        <f t="shared" si="11"/>
        <v>1.3104694153661983E-3</v>
      </c>
      <c r="N36" s="78">
        <f t="shared" si="12"/>
        <v>1.7950969732187967E-3</v>
      </c>
      <c r="O36" s="193">
        <v>2022</v>
      </c>
      <c r="P36" s="193">
        <v>1144</v>
      </c>
      <c r="Q36" s="194">
        <v>2.2004042460000002</v>
      </c>
      <c r="R36" s="195">
        <f t="shared" si="13"/>
        <v>1.0636290017414136E-3</v>
      </c>
      <c r="S36" s="196">
        <f t="shared" si="4"/>
        <v>2.3404137716005482E-3</v>
      </c>
      <c r="T36" s="196">
        <f t="shared" si="14"/>
        <v>1.2138730017388346E-3</v>
      </c>
      <c r="U36" s="193">
        <f t="shared" si="15"/>
        <v>2991731.2210020255</v>
      </c>
      <c r="V36" s="195">
        <f t="shared" si="5"/>
        <v>1.7674825174825175</v>
      </c>
      <c r="W36" s="195">
        <f t="shared" si="16"/>
        <v>2.3486752434499599E-2</v>
      </c>
      <c r="X36" s="193">
        <f t="shared" si="17"/>
        <v>10215147.098330118</v>
      </c>
      <c r="Y36" s="32">
        <f t="shared" si="6"/>
        <v>13206878.319332143</v>
      </c>
      <c r="Z36" s="197">
        <f t="shared" si="18"/>
        <v>4.5548049166529497E-3</v>
      </c>
      <c r="AB36" s="36">
        <f t="shared" si="7"/>
        <v>54623.999513537688</v>
      </c>
      <c r="AC36" s="37">
        <f t="shared" si="8"/>
        <v>5204970.9549631774</v>
      </c>
      <c r="AD36" s="37">
        <f t="shared" si="19"/>
        <v>13206878.319332143</v>
      </c>
      <c r="AE36" s="37">
        <f t="shared" si="20"/>
        <v>18466473.273808859</v>
      </c>
      <c r="AF36" s="38">
        <f t="shared" si="21"/>
        <v>1.59218517099653E-3</v>
      </c>
      <c r="AH36" s="228"/>
      <c r="AL36" s="11">
        <f t="shared" si="22"/>
        <v>628.06765080854996</v>
      </c>
      <c r="AM36" s="105">
        <f t="shared" si="23"/>
        <v>3.1167142874479411E-2</v>
      </c>
      <c r="AN36" s="11">
        <f t="shared" si="24"/>
        <v>3116714.287447941</v>
      </c>
    </row>
    <row r="37" spans="1:40">
      <c r="A37" s="246">
        <v>42</v>
      </c>
      <c r="B37" s="4" t="s">
        <v>138</v>
      </c>
      <c r="C37" s="32">
        <v>593222877</v>
      </c>
      <c r="D37" s="32">
        <v>127211041.94</v>
      </c>
      <c r="E37" s="34">
        <f t="shared" si="0"/>
        <v>0.21444055324252101</v>
      </c>
      <c r="F37" s="35">
        <f t="shared" si="9"/>
        <v>27279206.212171141</v>
      </c>
      <c r="G37" s="78">
        <f t="shared" si="1"/>
        <v>1.0708992356043926E-2</v>
      </c>
      <c r="H37" s="30">
        <v>471523</v>
      </c>
      <c r="I37" s="72">
        <f t="shared" si="2"/>
        <v>8.1515727878332944E-2</v>
      </c>
      <c r="J37" s="31">
        <f t="shared" si="10"/>
        <v>6.9288368696583003E-2</v>
      </c>
      <c r="K37" s="32">
        <v>247.3</v>
      </c>
      <c r="L37" s="69">
        <f t="shared" si="3"/>
        <v>3.8546427168606708E-3</v>
      </c>
      <c r="M37" s="33">
        <f t="shared" si="11"/>
        <v>5.7819640752910064E-4</v>
      </c>
      <c r="N37" s="78">
        <f t="shared" si="12"/>
        <v>6.9866565104112099E-2</v>
      </c>
      <c r="O37" s="193">
        <v>78885</v>
      </c>
      <c r="P37" s="193">
        <v>113737</v>
      </c>
      <c r="Q37" s="194">
        <v>1.9568038190999999</v>
      </c>
      <c r="R37" s="195">
        <f t="shared" si="13"/>
        <v>0.1057464788208594</v>
      </c>
      <c r="S37" s="196">
        <f t="shared" si="4"/>
        <v>0.20692511361303492</v>
      </c>
      <c r="T37" s="196">
        <f t="shared" si="14"/>
        <v>0.10732324849756292</v>
      </c>
      <c r="U37" s="193">
        <f t="shared" si="15"/>
        <v>264510630.69166005</v>
      </c>
      <c r="V37" s="195">
        <f t="shared" si="5"/>
        <v>0.69357377106834184</v>
      </c>
      <c r="W37" s="195">
        <f t="shared" si="16"/>
        <v>9.216382790222178E-3</v>
      </c>
      <c r="X37" s="193">
        <f t="shared" si="17"/>
        <v>4008502.5028128615</v>
      </c>
      <c r="Y37" s="32">
        <f t="shared" si="6"/>
        <v>268519133.19447291</v>
      </c>
      <c r="Z37" s="197">
        <f t="shared" si="18"/>
        <v>9.2607218641461805E-2</v>
      </c>
      <c r="AB37" s="36">
        <f t="shared" si="7"/>
        <v>62102488.056880496</v>
      </c>
      <c r="AC37" s="37">
        <f t="shared" si="8"/>
        <v>202581502.56800818</v>
      </c>
      <c r="AD37" s="37">
        <f t="shared" si="19"/>
        <v>268519133.19447291</v>
      </c>
      <c r="AE37" s="37">
        <f t="shared" si="20"/>
        <v>533203123.81936157</v>
      </c>
      <c r="AF37" s="38">
        <f t="shared" si="21"/>
        <v>4.5972942114415424E-2</v>
      </c>
      <c r="AH37" s="228"/>
      <c r="AL37" s="11">
        <f t="shared" si="22"/>
        <v>21.751925241400567</v>
      </c>
      <c r="AM37" s="105">
        <f t="shared" si="23"/>
        <v>1.0794145517938488E-3</v>
      </c>
      <c r="AN37" s="11">
        <f t="shared" si="24"/>
        <v>107941.45517938488</v>
      </c>
    </row>
    <row r="38" spans="1:40">
      <c r="A38" s="246">
        <v>43</v>
      </c>
      <c r="B38" s="4" t="s">
        <v>21</v>
      </c>
      <c r="C38" s="32">
        <v>3907034</v>
      </c>
      <c r="D38" s="32">
        <v>2452655</v>
      </c>
      <c r="E38" s="34">
        <f t="shared" si="0"/>
        <v>0.62775368732393932</v>
      </c>
      <c r="F38" s="35">
        <f t="shared" si="9"/>
        <v>1539663.2199834965</v>
      </c>
      <c r="G38" s="78">
        <f t="shared" si="1"/>
        <v>6.0442527269465398E-4</v>
      </c>
      <c r="H38" s="30">
        <v>5351</v>
      </c>
      <c r="I38" s="72">
        <f t="shared" si="2"/>
        <v>9.2506762104279034E-4</v>
      </c>
      <c r="J38" s="31">
        <f t="shared" si="10"/>
        <v>7.8630747788637173E-4</v>
      </c>
      <c r="K38" s="32">
        <v>3428</v>
      </c>
      <c r="L38" s="69">
        <f t="shared" si="3"/>
        <v>5.3431925731493649E-2</v>
      </c>
      <c r="M38" s="33">
        <f t="shared" si="11"/>
        <v>8.0147888597240473E-3</v>
      </c>
      <c r="N38" s="78">
        <f t="shared" si="12"/>
        <v>8.8010963376104184E-3</v>
      </c>
      <c r="O38" s="193">
        <v>2081</v>
      </c>
      <c r="P38" s="193">
        <v>764</v>
      </c>
      <c r="Q38" s="194">
        <v>1.7755281664</v>
      </c>
      <c r="R38" s="195">
        <f t="shared" si="13"/>
        <v>7.1032566200213284E-4</v>
      </c>
      <c r="S38" s="196">
        <f t="shared" si="4"/>
        <v>1.2612032202015131E-3</v>
      </c>
      <c r="T38" s="196">
        <f t="shared" si="14"/>
        <v>6.5413242619134164E-4</v>
      </c>
      <c r="U38" s="193">
        <f t="shared" si="15"/>
        <v>1612185.4586955274</v>
      </c>
      <c r="V38" s="195">
        <f t="shared" si="5"/>
        <v>2.7238219895287958</v>
      </c>
      <c r="W38" s="195">
        <f t="shared" si="16"/>
        <v>3.6194831977647418E-2</v>
      </c>
      <c r="X38" s="193">
        <f t="shared" si="17"/>
        <v>15742301.277374903</v>
      </c>
      <c r="Y38" s="32">
        <f t="shared" si="6"/>
        <v>17354486.736070432</v>
      </c>
      <c r="Z38" s="197">
        <f t="shared" si="18"/>
        <v>5.9852373589097535E-3</v>
      </c>
      <c r="AB38" s="36">
        <f t="shared" si="7"/>
        <v>3505120.9330270737</v>
      </c>
      <c r="AC38" s="37">
        <f t="shared" si="8"/>
        <v>25519206.757367481</v>
      </c>
      <c r="AD38" s="37">
        <f t="shared" si="19"/>
        <v>17354486.736070432</v>
      </c>
      <c r="AE38" s="37">
        <f t="shared" si="20"/>
        <v>46378814.42646499</v>
      </c>
      <c r="AF38" s="38">
        <f t="shared" si="21"/>
        <v>3.9987960604773694E-3</v>
      </c>
      <c r="AH38" s="228"/>
      <c r="AL38" s="11">
        <f t="shared" si="22"/>
        <v>250.07526887495777</v>
      </c>
      <c r="AM38" s="105">
        <f t="shared" si="23"/>
        <v>1.2409700809086091E-2</v>
      </c>
      <c r="AN38" s="11">
        <f t="shared" si="24"/>
        <v>1240970.0809086091</v>
      </c>
    </row>
    <row r="39" spans="1:40">
      <c r="A39" s="246">
        <v>44</v>
      </c>
      <c r="B39" s="4" t="s">
        <v>22</v>
      </c>
      <c r="C39" s="32">
        <v>40511812</v>
      </c>
      <c r="D39" s="32">
        <v>11225818</v>
      </c>
      <c r="E39" s="34">
        <f t="shared" ref="E39:E58" si="25">+D39/C39</f>
        <v>0.27709987398243258</v>
      </c>
      <c r="F39" s="35">
        <f t="shared" si="9"/>
        <v>3110672.7531497232</v>
      </c>
      <c r="G39" s="78">
        <f t="shared" ref="G39:G57" si="26">+F39/F$58</f>
        <v>1.221156161089894E-3</v>
      </c>
      <c r="H39" s="30">
        <v>84666</v>
      </c>
      <c r="I39" s="72">
        <f t="shared" ref="I39:I57" si="27">+H39/$H$58</f>
        <v>1.4636848290638924E-2</v>
      </c>
      <c r="J39" s="31">
        <f t="shared" si="10"/>
        <v>1.2441321047043085E-2</v>
      </c>
      <c r="K39" s="32">
        <v>2509.1999999999998</v>
      </c>
      <c r="L39" s="69">
        <f t="shared" ref="L39:L58" si="28">+K39/$K$58</f>
        <v>3.9110673292142316E-2</v>
      </c>
      <c r="M39" s="33">
        <f t="shared" si="11"/>
        <v>5.8666009938213469E-3</v>
      </c>
      <c r="N39" s="78">
        <f t="shared" si="12"/>
        <v>1.8307922040864431E-2</v>
      </c>
      <c r="O39" s="193">
        <v>25760</v>
      </c>
      <c r="P39" s="193">
        <v>21267</v>
      </c>
      <c r="Q39" s="194">
        <v>2.0486592371999999</v>
      </c>
      <c r="R39" s="195">
        <f t="shared" si="13"/>
        <v>1.9772900332198112E-2</v>
      </c>
      <c r="S39" s="196">
        <f t="shared" si="4"/>
        <v>4.0507934911792609E-2</v>
      </c>
      <c r="T39" s="196">
        <f t="shared" si="14"/>
        <v>2.1009741585989696E-2</v>
      </c>
      <c r="U39" s="193">
        <f t="shared" si="15"/>
        <v>51780952.173704721</v>
      </c>
      <c r="V39" s="195">
        <f t="shared" si="5"/>
        <v>1.2112662810927728</v>
      </c>
      <c r="W39" s="195">
        <f t="shared" si="16"/>
        <v>1.6095611127629923E-2</v>
      </c>
      <c r="X39" s="193">
        <f t="shared" si="17"/>
        <v>7000501.0596843641</v>
      </c>
      <c r="Y39" s="32">
        <f t="shared" si="6"/>
        <v>58781453.233389087</v>
      </c>
      <c r="Z39" s="197">
        <f t="shared" si="18"/>
        <v>2.0272622017235731E-2</v>
      </c>
      <c r="AB39" s="36">
        <f t="shared" ref="AB39:AB57" si="29">+G39*AB$5</f>
        <v>7081603.3281479077</v>
      </c>
      <c r="AC39" s="37">
        <f t="shared" ref="AC39:AC57" si="30">+N39*AC$5</f>
        <v>53084710.124356486</v>
      </c>
      <c r="AD39" s="37">
        <f t="shared" si="19"/>
        <v>58781453.233389087</v>
      </c>
      <c r="AE39" s="37">
        <f t="shared" si="20"/>
        <v>118947766.68589348</v>
      </c>
      <c r="AF39" s="38">
        <f t="shared" si="21"/>
        <v>1.0255714095069984E-2</v>
      </c>
      <c r="AH39" s="228"/>
      <c r="AL39" s="11">
        <f t="shared" si="22"/>
        <v>97.506618332965161</v>
      </c>
      <c r="AM39" s="105">
        <f t="shared" si="23"/>
        <v>4.8386550411863502E-3</v>
      </c>
      <c r="AN39" s="11">
        <f t="shared" si="24"/>
        <v>483865.50411863503</v>
      </c>
    </row>
    <row r="40" spans="1:40">
      <c r="A40" s="246">
        <v>46</v>
      </c>
      <c r="B40" s="4" t="s">
        <v>139</v>
      </c>
      <c r="C40" s="32">
        <v>2187206</v>
      </c>
      <c r="D40" s="32">
        <v>1555152</v>
      </c>
      <c r="E40" s="34">
        <f t="shared" si="25"/>
        <v>0.71102218995375832</v>
      </c>
      <c r="F40" s="35">
        <f t="shared" si="9"/>
        <v>1105747.5807509671</v>
      </c>
      <c r="G40" s="78">
        <f t="shared" si="26"/>
        <v>4.3408309970151856E-4</v>
      </c>
      <c r="H40" s="30">
        <v>5119</v>
      </c>
      <c r="I40" s="72">
        <f t="shared" si="27"/>
        <v>8.8496003590320376E-4</v>
      </c>
      <c r="J40" s="31">
        <f t="shared" si="10"/>
        <v>7.5221603051772322E-4</v>
      </c>
      <c r="K40" s="32">
        <v>264.89999999999998</v>
      </c>
      <c r="L40" s="69">
        <f t="shared" si="28"/>
        <v>4.1289723238835084E-3</v>
      </c>
      <c r="M40" s="33">
        <f t="shared" si="11"/>
        <v>6.1934584858252628E-4</v>
      </c>
      <c r="N40" s="78">
        <f t="shared" si="12"/>
        <v>1.3715618791002495E-3</v>
      </c>
      <c r="O40" s="193">
        <v>1318</v>
      </c>
      <c r="P40" s="193">
        <v>475</v>
      </c>
      <c r="Q40" s="194">
        <v>2.0058388967999998</v>
      </c>
      <c r="R40" s="195">
        <f t="shared" si="13"/>
        <v>4.4162917467410089E-4</v>
      </c>
      <c r="S40" s="196">
        <f t="shared" si="4"/>
        <v>8.8583697652299298E-4</v>
      </c>
      <c r="T40" s="196">
        <f t="shared" si="14"/>
        <v>4.5944593336068676E-4</v>
      </c>
      <c r="U40" s="193">
        <f t="shared" si="15"/>
        <v>1132357.9494960341</v>
      </c>
      <c r="V40" s="195">
        <f t="shared" si="5"/>
        <v>2.7747368421052632</v>
      </c>
      <c r="W40" s="195">
        <f t="shared" si="16"/>
        <v>3.6871401350116108E-2</v>
      </c>
      <c r="X40" s="193">
        <f t="shared" si="17"/>
        <v>16036563.146114178</v>
      </c>
      <c r="Y40" s="32">
        <f t="shared" si="6"/>
        <v>17168921.095610213</v>
      </c>
      <c r="Z40" s="197">
        <f t="shared" si="18"/>
        <v>5.921239245874E-3</v>
      </c>
      <c r="AB40" s="36">
        <f t="shared" si="29"/>
        <v>2517290.1071026451</v>
      </c>
      <c r="AC40" s="37">
        <f t="shared" si="30"/>
        <v>3976910.3564642807</v>
      </c>
      <c r="AD40" s="37">
        <f t="shared" si="19"/>
        <v>17168921.095610213</v>
      </c>
      <c r="AE40" s="37">
        <f t="shared" si="20"/>
        <v>23663121.559177138</v>
      </c>
      <c r="AF40" s="38">
        <f t="shared" si="21"/>
        <v>2.0402418310943209E-3</v>
      </c>
      <c r="AH40" s="228"/>
      <c r="AL40" s="11">
        <f t="shared" si="22"/>
        <v>490.1379751946522</v>
      </c>
      <c r="AM40" s="105">
        <f t="shared" si="23"/>
        <v>2.4322539588583783E-2</v>
      </c>
      <c r="AN40" s="11">
        <f t="shared" si="24"/>
        <v>2432253.9588583782</v>
      </c>
    </row>
    <row r="41" spans="1:40">
      <c r="A41" s="246">
        <v>49</v>
      </c>
      <c r="B41" s="4" t="s">
        <v>23</v>
      </c>
      <c r="C41" s="32">
        <v>769899</v>
      </c>
      <c r="D41" s="32">
        <v>328826</v>
      </c>
      <c r="E41" s="34">
        <f t="shared" si="25"/>
        <v>0.42710277581864636</v>
      </c>
      <c r="F41" s="35">
        <f t="shared" si="9"/>
        <v>140442.49736134222</v>
      </c>
      <c r="G41" s="78">
        <f t="shared" si="26"/>
        <v>5.5133482221168719E-5</v>
      </c>
      <c r="H41" s="30">
        <v>1483</v>
      </c>
      <c r="I41" s="72">
        <f t="shared" si="27"/>
        <v>2.5637736535347747E-4</v>
      </c>
      <c r="J41" s="31">
        <f t="shared" si="10"/>
        <v>2.1792076055045584E-4</v>
      </c>
      <c r="K41" s="32">
        <v>207.9</v>
      </c>
      <c r="L41" s="69">
        <f t="shared" si="28"/>
        <v>3.2405184829572727E-3</v>
      </c>
      <c r="M41" s="33">
        <f t="shared" si="11"/>
        <v>4.8607777244359088E-4</v>
      </c>
      <c r="N41" s="78">
        <f t="shared" si="12"/>
        <v>7.0399853299404674E-4</v>
      </c>
      <c r="O41" s="193">
        <v>35</v>
      </c>
      <c r="P41" s="193">
        <v>141</v>
      </c>
      <c r="Q41" s="194">
        <v>1.5774653305999999</v>
      </c>
      <c r="R41" s="195">
        <f t="shared" si="13"/>
        <v>1.3109413395589101E-4</v>
      </c>
      <c r="S41" s="196">
        <f t="shared" si="4"/>
        <v>2.0679645136045029E-4</v>
      </c>
      <c r="T41" s="196">
        <f t="shared" si="14"/>
        <v>1.072565168637593E-4</v>
      </c>
      <c r="U41" s="193">
        <f t="shared" si="15"/>
        <v>264346.16281734966</v>
      </c>
      <c r="V41" s="195">
        <f t="shared" si="5"/>
        <v>0.24822695035460993</v>
      </c>
      <c r="W41" s="195">
        <f t="shared" si="16"/>
        <v>3.2985021763346587E-3</v>
      </c>
      <c r="X41" s="193">
        <f t="shared" si="17"/>
        <v>1434625.1159835353</v>
      </c>
      <c r="Y41" s="32">
        <f t="shared" si="6"/>
        <v>1698971.278800885</v>
      </c>
      <c r="Z41" s="197">
        <f t="shared" si="18"/>
        <v>5.8594336578439421E-4</v>
      </c>
      <c r="AB41" s="36">
        <f t="shared" si="29"/>
        <v>319724.42479538918</v>
      </c>
      <c r="AC41" s="37">
        <f t="shared" si="30"/>
        <v>2041277.9761977098</v>
      </c>
      <c r="AD41" s="37">
        <f t="shared" si="19"/>
        <v>1698971.278800885</v>
      </c>
      <c r="AE41" s="37">
        <f t="shared" si="20"/>
        <v>4059973.6797939837</v>
      </c>
      <c r="AF41" s="38">
        <f t="shared" si="21"/>
        <v>3.5005221580519446E-4</v>
      </c>
      <c r="AH41" s="228"/>
      <c r="AL41" s="11">
        <f t="shared" si="22"/>
        <v>2856.7166692540068</v>
      </c>
      <c r="AM41" s="105">
        <f t="shared" si="23"/>
        <v>0.14176131578807707</v>
      </c>
      <c r="AN41" s="11">
        <f t="shared" si="24"/>
        <v>14176131.578807708</v>
      </c>
    </row>
    <row r="42" spans="1:40">
      <c r="A42" s="246">
        <v>48</v>
      </c>
      <c r="B42" s="4" t="s">
        <v>24</v>
      </c>
      <c r="C42" s="32">
        <v>847487</v>
      </c>
      <c r="D42" s="32">
        <v>95366</v>
      </c>
      <c r="E42" s="34">
        <f t="shared" si="25"/>
        <v>0.11252797978022082</v>
      </c>
      <c r="F42" s="35">
        <f t="shared" si="9"/>
        <v>10731.343319720538</v>
      </c>
      <c r="G42" s="78">
        <f t="shared" si="26"/>
        <v>4.2128012335525978E-6</v>
      </c>
      <c r="H42" s="30">
        <v>7652</v>
      </c>
      <c r="I42" s="72">
        <f t="shared" si="27"/>
        <v>1.322858799517741E-3</v>
      </c>
      <c r="J42" s="31">
        <f t="shared" si="10"/>
        <v>1.1244299795900798E-3</v>
      </c>
      <c r="K42" s="32">
        <v>997.9</v>
      </c>
      <c r="L42" s="69">
        <f t="shared" si="28"/>
        <v>1.5554176980005108E-2</v>
      </c>
      <c r="M42" s="33">
        <f t="shared" si="11"/>
        <v>2.3331265470007659E-3</v>
      </c>
      <c r="N42" s="78">
        <f t="shared" si="12"/>
        <v>3.4575565265908457E-3</v>
      </c>
      <c r="O42" s="193">
        <v>5295</v>
      </c>
      <c r="P42" s="193">
        <v>4705</v>
      </c>
      <c r="Q42" s="194">
        <v>2.7540316573000001</v>
      </c>
      <c r="R42" s="195">
        <f t="shared" si="13"/>
        <v>4.3744531933508314E-3</v>
      </c>
      <c r="S42" s="196">
        <f t="shared" si="4"/>
        <v>1.2047382577865268E-2</v>
      </c>
      <c r="T42" s="196">
        <f t="shared" si="14"/>
        <v>6.2484645366312659E-3</v>
      </c>
      <c r="U42" s="193">
        <f t="shared" si="15"/>
        <v>15400067.726018736</v>
      </c>
      <c r="V42" s="195">
        <f t="shared" si="5"/>
        <v>1.1253985122210415</v>
      </c>
      <c r="W42" s="195">
        <f t="shared" si="16"/>
        <v>1.4954578608413996E-2</v>
      </c>
      <c r="X42" s="193">
        <f t="shared" si="17"/>
        <v>6504229.1693804618</v>
      </c>
      <c r="Y42" s="32">
        <f t="shared" si="6"/>
        <v>21904296.895399198</v>
      </c>
      <c r="Z42" s="197">
        <f t="shared" si="18"/>
        <v>7.5543816473986752E-3</v>
      </c>
      <c r="AB42" s="36">
        <f t="shared" si="29"/>
        <v>24430.444022593387</v>
      </c>
      <c r="AC42" s="37">
        <f t="shared" si="30"/>
        <v>10025353.261990715</v>
      </c>
      <c r="AD42" s="37">
        <f t="shared" si="19"/>
        <v>21904296.895399198</v>
      </c>
      <c r="AE42" s="37">
        <f t="shared" si="20"/>
        <v>31954080.601412505</v>
      </c>
      <c r="AF42" s="38">
        <f t="shared" si="21"/>
        <v>2.7550909441141553E-3</v>
      </c>
      <c r="AH42" s="228"/>
      <c r="AL42" s="11">
        <f t="shared" si="22"/>
        <v>362.96442487183668</v>
      </c>
      <c r="AM42" s="105">
        <f t="shared" si="23"/>
        <v>1.8011696787392929E-2</v>
      </c>
      <c r="AN42" s="11">
        <f t="shared" si="24"/>
        <v>1801169.678739293</v>
      </c>
    </row>
    <row r="43" spans="1:40">
      <c r="A43" s="246">
        <v>47</v>
      </c>
      <c r="B43" s="4" t="s">
        <v>25</v>
      </c>
      <c r="C43" s="32">
        <v>4772320</v>
      </c>
      <c r="D43" s="32">
        <v>736730</v>
      </c>
      <c r="E43" s="34">
        <f t="shared" si="25"/>
        <v>0.1543756495792403</v>
      </c>
      <c r="F43" s="35">
        <f t="shared" si="9"/>
        <v>113733.17231451371</v>
      </c>
      <c r="G43" s="78">
        <f t="shared" si="26"/>
        <v>4.4648207996658434E-5</v>
      </c>
      <c r="H43" s="30">
        <v>6048</v>
      </c>
      <c r="I43" s="72">
        <f t="shared" si="27"/>
        <v>1.0455632539837032E-3</v>
      </c>
      <c r="J43" s="31">
        <f t="shared" si="10"/>
        <v>8.8872876588614767E-4</v>
      </c>
      <c r="K43" s="32">
        <v>3860</v>
      </c>
      <c r="L43" s="69">
        <f t="shared" si="28"/>
        <v>6.0165470631145121E-2</v>
      </c>
      <c r="M43" s="33">
        <f t="shared" si="11"/>
        <v>9.0248205946717678E-3</v>
      </c>
      <c r="N43" s="78">
        <f t="shared" si="12"/>
        <v>9.9135493605579158E-3</v>
      </c>
      <c r="O43" s="193">
        <v>1618</v>
      </c>
      <c r="P43" s="193">
        <v>916</v>
      </c>
      <c r="Q43" s="194">
        <v>2.0422796606000002</v>
      </c>
      <c r="R43" s="195">
        <f t="shared" si="13"/>
        <v>8.5164699789784515E-4</v>
      </c>
      <c r="S43" s="196">
        <f t="shared" si="4"/>
        <v>1.7393013418178203E-3</v>
      </c>
      <c r="T43" s="196">
        <f t="shared" si="14"/>
        <v>9.0210157124349997E-4</v>
      </c>
      <c r="U43" s="193">
        <f t="shared" si="15"/>
        <v>2223334.2625943171</v>
      </c>
      <c r="V43" s="195">
        <f t="shared" si="5"/>
        <v>1.7663755458515285</v>
      </c>
      <c r="W43" s="195">
        <f t="shared" si="16"/>
        <v>2.3472042716925653E-2</v>
      </c>
      <c r="X43" s="193">
        <f t="shared" si="17"/>
        <v>10208749.367131995</v>
      </c>
      <c r="Y43" s="32">
        <f t="shared" si="6"/>
        <v>12432083.629726313</v>
      </c>
      <c r="Z43" s="197">
        <f t="shared" si="18"/>
        <v>4.2875927430958234E-3</v>
      </c>
      <c r="AB43" s="36">
        <f t="shared" si="29"/>
        <v>258919.29993849585</v>
      </c>
      <c r="AC43" s="37">
        <f t="shared" si="30"/>
        <v>28744818.387039006</v>
      </c>
      <c r="AD43" s="37">
        <f t="shared" si="19"/>
        <v>12432083.629726315</v>
      </c>
      <c r="AE43" s="37">
        <f t="shared" si="20"/>
        <v>41435821.316703819</v>
      </c>
      <c r="AF43" s="38">
        <f t="shared" si="21"/>
        <v>3.572609629911763E-3</v>
      </c>
      <c r="AH43" s="228"/>
      <c r="AL43" s="11">
        <f t="shared" si="22"/>
        <v>279.90743562562085</v>
      </c>
      <c r="AM43" s="105">
        <f t="shared" si="23"/>
        <v>1.3890088156175602E-2</v>
      </c>
      <c r="AN43" s="11">
        <f t="shared" si="24"/>
        <v>1389008.8156175602</v>
      </c>
    </row>
    <row r="44" spans="1:40">
      <c r="A44" s="246">
        <v>45</v>
      </c>
      <c r="B44" s="4" t="s">
        <v>26</v>
      </c>
      <c r="C44" s="32">
        <v>62554222</v>
      </c>
      <c r="D44" s="32">
        <v>20566369</v>
      </c>
      <c r="E44" s="34">
        <f t="shared" si="25"/>
        <v>0.32877667313966435</v>
      </c>
      <c r="F44" s="35">
        <f t="shared" si="9"/>
        <v>6761742.3783827256</v>
      </c>
      <c r="G44" s="78">
        <f t="shared" si="26"/>
        <v>2.6544558107900926E-3</v>
      </c>
      <c r="H44" s="30">
        <v>67428</v>
      </c>
      <c r="I44" s="72">
        <f t="shared" si="27"/>
        <v>1.1656785563758786E-2</v>
      </c>
      <c r="J44" s="31">
        <f t="shared" si="10"/>
        <v>9.9082677291949667E-3</v>
      </c>
      <c r="K44" s="32">
        <v>1869</v>
      </c>
      <c r="L44" s="69">
        <f t="shared" si="28"/>
        <v>2.913193383668659E-2</v>
      </c>
      <c r="M44" s="33">
        <f t="shared" si="11"/>
        <v>4.3697900755029885E-3</v>
      </c>
      <c r="N44" s="78">
        <f t="shared" si="12"/>
        <v>1.4278057804697954E-2</v>
      </c>
      <c r="O44" s="193">
        <v>15090</v>
      </c>
      <c r="P44" s="193">
        <v>11157</v>
      </c>
      <c r="Q44" s="194">
        <v>1.7986407321</v>
      </c>
      <c r="R44" s="195">
        <f t="shared" si="13"/>
        <v>1.037317200387146E-2</v>
      </c>
      <c r="S44" s="196">
        <f t="shared" si="4"/>
        <v>1.8657609687242588E-2</v>
      </c>
      <c r="T44" s="196">
        <f t="shared" si="14"/>
        <v>9.6769079686436638E-3</v>
      </c>
      <c r="U44" s="193">
        <f t="shared" si="15"/>
        <v>23849865.390435051</v>
      </c>
      <c r="V44" s="195">
        <f t="shared" si="5"/>
        <v>1.352514116698037</v>
      </c>
      <c r="W44" s="195">
        <f t="shared" si="16"/>
        <v>1.7972547908591634E-2</v>
      </c>
      <c r="X44" s="193">
        <f t="shared" si="17"/>
        <v>7816841.4781930838</v>
      </c>
      <c r="Y44" s="32">
        <f t="shared" si="6"/>
        <v>31666706.868628137</v>
      </c>
      <c r="Z44" s="197">
        <f t="shared" si="18"/>
        <v>1.0921253959635859E-2</v>
      </c>
      <c r="AB44" s="36">
        <f t="shared" si="29"/>
        <v>15393447.376407165</v>
      </c>
      <c r="AC44" s="37">
        <f t="shared" si="30"/>
        <v>41399922.831734397</v>
      </c>
      <c r="AD44" s="37">
        <f t="shared" si="19"/>
        <v>31666706.868628133</v>
      </c>
      <c r="AE44" s="37">
        <f t="shared" si="20"/>
        <v>88460077.076769695</v>
      </c>
      <c r="AF44" s="38">
        <f t="shared" si="21"/>
        <v>7.6270558464784973E-3</v>
      </c>
      <c r="AH44" s="228"/>
      <c r="AL44" s="11">
        <f t="shared" si="22"/>
        <v>131.11219061831204</v>
      </c>
      <c r="AM44" s="105">
        <f t="shared" si="23"/>
        <v>6.5062933464671317E-3</v>
      </c>
      <c r="AN44" s="11">
        <f t="shared" si="24"/>
        <v>650629.33464671322</v>
      </c>
    </row>
    <row r="45" spans="1:40">
      <c r="A45" s="246">
        <v>70</v>
      </c>
      <c r="B45" s="4" t="s">
        <v>27</v>
      </c>
      <c r="C45" s="32">
        <v>2616832733</v>
      </c>
      <c r="D45" s="32">
        <v>1530787885.22</v>
      </c>
      <c r="E45" s="34">
        <f t="shared" si="25"/>
        <v>0.58497735293347086</v>
      </c>
      <c r="F45" s="35">
        <f t="shared" si="9"/>
        <v>895476244.99862146</v>
      </c>
      <c r="G45" s="78">
        <f t="shared" si="26"/>
        <v>0.35153692479624093</v>
      </c>
      <c r="H45" s="30">
        <v>1142994</v>
      </c>
      <c r="I45" s="72">
        <f t="shared" si="27"/>
        <v>0.19759797055619194</v>
      </c>
      <c r="J45" s="31">
        <f t="shared" si="10"/>
        <v>0.16795827497276314</v>
      </c>
      <c r="K45" s="32">
        <v>324.39999999999998</v>
      </c>
      <c r="L45" s="69">
        <f t="shared" si="28"/>
        <v>5.0563934385345795E-3</v>
      </c>
      <c r="M45" s="33">
        <f t="shared" si="11"/>
        <v>7.584590157801869E-4</v>
      </c>
      <c r="N45" s="78">
        <f t="shared" si="12"/>
        <v>0.16871673398854334</v>
      </c>
      <c r="O45" s="193">
        <v>182930</v>
      </c>
      <c r="P45" s="193">
        <v>207064</v>
      </c>
      <c r="Q45" s="194">
        <v>1.9809358914999999</v>
      </c>
      <c r="R45" s="195">
        <f t="shared" si="13"/>
        <v>0.19251684931519586</v>
      </c>
      <c r="S45" s="196">
        <f t="shared" si="4"/>
        <v>0.38136353652696864</v>
      </c>
      <c r="T45" s="196">
        <f t="shared" si="14"/>
        <v>0.19779703335156221</v>
      </c>
      <c r="U45" s="193">
        <f t="shared" si="15"/>
        <v>487493798.15827227</v>
      </c>
      <c r="V45" s="195">
        <f t="shared" si="5"/>
        <v>0.8834466638334042</v>
      </c>
      <c r="W45" s="195">
        <f t="shared" si="16"/>
        <v>1.1739461565986884E-2</v>
      </c>
      <c r="X45" s="193">
        <f t="shared" si="17"/>
        <v>5105870.9409138383</v>
      </c>
      <c r="Y45" s="32">
        <f t="shared" si="6"/>
        <v>492599669.09918612</v>
      </c>
      <c r="Z45" s="197">
        <f t="shared" si="18"/>
        <v>0.1698883975837259</v>
      </c>
      <c r="AB45" s="36">
        <f t="shared" si="29"/>
        <v>2038596811.7149622</v>
      </c>
      <c r="AC45" s="37">
        <f t="shared" si="30"/>
        <v>489202373.53638554</v>
      </c>
      <c r="AD45" s="37">
        <f t="shared" si="19"/>
        <v>492599669.09918612</v>
      </c>
      <c r="AE45" s="37">
        <f t="shared" si="20"/>
        <v>3020398854.3505335</v>
      </c>
      <c r="AF45" s="38">
        <f t="shared" si="21"/>
        <v>0.26041974529118767</v>
      </c>
      <c r="AH45" s="228"/>
      <c r="AL45" s="11">
        <f t="shared" si="22"/>
        <v>3.8399546043709267</v>
      </c>
      <c r="AM45" s="105">
        <f t="shared" si="23"/>
        <v>1.905533800887083E-4</v>
      </c>
      <c r="AN45" s="11">
        <f t="shared" si="24"/>
        <v>19055.338008870829</v>
      </c>
    </row>
    <row r="46" spans="1:40">
      <c r="A46" s="246">
        <v>50</v>
      </c>
      <c r="B46" s="4" t="s">
        <v>140</v>
      </c>
      <c r="C46" s="32">
        <v>1399134</v>
      </c>
      <c r="D46" s="32">
        <v>409925</v>
      </c>
      <c r="E46" s="34">
        <f t="shared" si="25"/>
        <v>0.29298480345699557</v>
      </c>
      <c r="F46" s="35">
        <f t="shared" si="9"/>
        <v>120101.79555710891</v>
      </c>
      <c r="G46" s="78">
        <f t="shared" si="26"/>
        <v>4.7148337109398017E-5</v>
      </c>
      <c r="H46" s="30">
        <v>906</v>
      </c>
      <c r="I46" s="72">
        <f t="shared" si="27"/>
        <v>1.5662703507097141E-4</v>
      </c>
      <c r="J46" s="31">
        <f t="shared" si="10"/>
        <v>1.331329798103257E-4</v>
      </c>
      <c r="K46" s="32">
        <v>1171.2</v>
      </c>
      <c r="L46" s="69">
        <f t="shared" si="28"/>
        <v>1.8255388394610668E-2</v>
      </c>
      <c r="M46" s="33">
        <f t="shared" si="11"/>
        <v>2.7383082591916001E-3</v>
      </c>
      <c r="N46" s="78">
        <f t="shared" si="12"/>
        <v>2.8714412390019256E-3</v>
      </c>
      <c r="O46" s="193">
        <v>133</v>
      </c>
      <c r="P46" s="193">
        <v>63</v>
      </c>
      <c r="Q46" s="194">
        <v>1.7977681072</v>
      </c>
      <c r="R46" s="195">
        <f t="shared" si="13"/>
        <v>5.8573974746249173E-5</v>
      </c>
      <c r="S46" s="196">
        <f t="shared" si="4"/>
        <v>1.0530242371074497E-4</v>
      </c>
      <c r="T46" s="196">
        <f t="shared" si="14"/>
        <v>5.4615884896592997E-5</v>
      </c>
      <c r="U46" s="193">
        <f t="shared" si="15"/>
        <v>134607.20172022164</v>
      </c>
      <c r="V46" s="195">
        <f t="shared" si="5"/>
        <v>2.1111111111111112</v>
      </c>
      <c r="W46" s="195">
        <f t="shared" si="16"/>
        <v>2.8052975652065243E-2</v>
      </c>
      <c r="X46" s="193">
        <f t="shared" si="17"/>
        <v>12201145.0340314</v>
      </c>
      <c r="Y46" s="32">
        <f t="shared" si="6"/>
        <v>12335752.235751621</v>
      </c>
      <c r="Z46" s="197">
        <f t="shared" si="18"/>
        <v>4.2543698499718898E-3</v>
      </c>
      <c r="AB46" s="36">
        <f t="shared" si="29"/>
        <v>273417.79178557813</v>
      </c>
      <c r="AC46" s="37">
        <f t="shared" si="30"/>
        <v>8325883.4875584338</v>
      </c>
      <c r="AD46" s="37">
        <f t="shared" si="19"/>
        <v>12335752.23575162</v>
      </c>
      <c r="AE46" s="37">
        <f t="shared" si="20"/>
        <v>20935053.515095629</v>
      </c>
      <c r="AF46" s="38">
        <f t="shared" si="21"/>
        <v>1.805026940798152E-3</v>
      </c>
      <c r="AH46" s="228"/>
      <c r="AL46" s="11">
        <f t="shared" si="22"/>
        <v>554.00835156389257</v>
      </c>
      <c r="AM46" s="105">
        <f t="shared" si="23"/>
        <v>2.7492034376580255E-2</v>
      </c>
      <c r="AN46" s="11">
        <f t="shared" si="24"/>
        <v>2749203.4376580254</v>
      </c>
    </row>
    <row r="47" spans="1:40">
      <c r="A47" s="246">
        <v>51</v>
      </c>
      <c r="B47" s="4" t="s">
        <v>141</v>
      </c>
      <c r="C47" s="32">
        <v>110604359</v>
      </c>
      <c r="D47" s="32">
        <v>24732378.239999998</v>
      </c>
      <c r="E47" s="34">
        <f t="shared" si="25"/>
        <v>0.22361124338689037</v>
      </c>
      <c r="F47" s="35">
        <f t="shared" si="9"/>
        <v>5530437.8501612712</v>
      </c>
      <c r="G47" s="78">
        <f t="shared" si="26"/>
        <v>2.1710828461177327E-3</v>
      </c>
      <c r="H47" s="30">
        <v>147624</v>
      </c>
      <c r="I47" s="72">
        <f t="shared" si="27"/>
        <v>2.5520871330372057E-2</v>
      </c>
      <c r="J47" s="31">
        <f t="shared" si="10"/>
        <v>2.1692740630816248E-2</v>
      </c>
      <c r="K47" s="32">
        <v>322.8</v>
      </c>
      <c r="L47" s="69">
        <f t="shared" si="28"/>
        <v>5.0314543833506857E-3</v>
      </c>
      <c r="M47" s="33">
        <f t="shared" si="11"/>
        <v>7.5471815750260279E-4</v>
      </c>
      <c r="N47" s="78">
        <f t="shared" si="12"/>
        <v>2.2447458788318851E-2</v>
      </c>
      <c r="O47" s="193">
        <v>19678</v>
      </c>
      <c r="P47" s="193">
        <v>32877</v>
      </c>
      <c r="Q47" s="194">
        <v>1.8363293522999999</v>
      </c>
      <c r="R47" s="195">
        <f t="shared" si="13"/>
        <v>3.0567247106864034E-2</v>
      </c>
      <c r="S47" s="196">
        <f t="shared" si="4"/>
        <v>5.6131533081341681E-2</v>
      </c>
      <c r="T47" s="196">
        <f t="shared" si="14"/>
        <v>2.9113036925540778E-2</v>
      </c>
      <c r="U47" s="193">
        <f t="shared" si="15"/>
        <v>71752466.183496535</v>
      </c>
      <c r="V47" s="195">
        <f t="shared" si="5"/>
        <v>0.59853392949478357</v>
      </c>
      <c r="W47" s="195">
        <f t="shared" si="16"/>
        <v>7.953469461024678E-3</v>
      </c>
      <c r="X47" s="193">
        <f t="shared" si="17"/>
        <v>3459220.712315327</v>
      </c>
      <c r="Y47" s="32">
        <f t="shared" si="6"/>
        <v>75211686.895811856</v>
      </c>
      <c r="Z47" s="197">
        <f t="shared" si="18"/>
        <v>2.5939101805863361E-2</v>
      </c>
      <c r="AB47" s="36">
        <f t="shared" si="29"/>
        <v>12590320.549199911</v>
      </c>
      <c r="AC47" s="37">
        <f t="shared" si="30"/>
        <v>65087498.195949338</v>
      </c>
      <c r="AD47" s="37">
        <f t="shared" si="19"/>
        <v>75211686.895811856</v>
      </c>
      <c r="AE47" s="37">
        <f t="shared" si="20"/>
        <v>152889505.64096111</v>
      </c>
      <c r="AF47" s="38">
        <f t="shared" si="21"/>
        <v>1.3182181571604416E-2</v>
      </c>
      <c r="AH47" s="228"/>
      <c r="AL47" s="11">
        <f t="shared" si="22"/>
        <v>75.859977695504398</v>
      </c>
      <c r="AM47" s="105">
        <f t="shared" si="23"/>
        <v>3.7644651181235793E-3</v>
      </c>
      <c r="AN47" s="11">
        <f t="shared" si="24"/>
        <v>376446.51181235793</v>
      </c>
    </row>
    <row r="48" spans="1:40">
      <c r="A48" s="246">
        <v>52</v>
      </c>
      <c r="B48" s="4" t="s">
        <v>142</v>
      </c>
      <c r="C48" s="32">
        <v>8051951</v>
      </c>
      <c r="D48" s="32">
        <v>1668066</v>
      </c>
      <c r="E48" s="34">
        <f t="shared" si="25"/>
        <v>0.20716295963549702</v>
      </c>
      <c r="F48" s="35">
        <f t="shared" si="9"/>
        <v>345561.48942734499</v>
      </c>
      <c r="G48" s="78">
        <f t="shared" si="26"/>
        <v>1.3565700262823229E-4</v>
      </c>
      <c r="H48" s="30">
        <v>5389</v>
      </c>
      <c r="I48" s="72">
        <f t="shared" si="27"/>
        <v>9.3163696688461914E-4</v>
      </c>
      <c r="J48" s="31">
        <f t="shared" si="10"/>
        <v>7.918914218519263E-4</v>
      </c>
      <c r="K48" s="32">
        <v>1341</v>
      </c>
      <c r="L48" s="69">
        <f t="shared" si="28"/>
        <v>2.0902045626001453E-2</v>
      </c>
      <c r="M48" s="33">
        <f t="shared" si="11"/>
        <v>3.135306843900218E-3</v>
      </c>
      <c r="N48" s="78">
        <f t="shared" si="12"/>
        <v>3.927198265752144E-3</v>
      </c>
      <c r="O48" s="193">
        <v>1611</v>
      </c>
      <c r="P48" s="193">
        <v>1054</v>
      </c>
      <c r="Q48" s="194">
        <v>2.1403267704000002</v>
      </c>
      <c r="R48" s="195">
        <f t="shared" si="13"/>
        <v>9.7995189496105769E-4</v>
      </c>
      <c r="S48" s="196">
        <f t="shared" si="4"/>
        <v>2.0974172744893608E-3</v>
      </c>
      <c r="T48" s="196">
        <f t="shared" si="14"/>
        <v>1.0878410620281658E-3</v>
      </c>
      <c r="U48" s="193">
        <f t="shared" si="15"/>
        <v>2681110.8444587337</v>
      </c>
      <c r="V48" s="195">
        <f t="shared" si="5"/>
        <v>1.5284629981024669</v>
      </c>
      <c r="W48" s="195">
        <f t="shared" si="16"/>
        <v>2.0310600917771596E-2</v>
      </c>
      <c r="X48" s="193">
        <f t="shared" si="17"/>
        <v>8833736.2353151552</v>
      </c>
      <c r="Y48" s="32">
        <f t="shared" si="6"/>
        <v>11514847.079773888</v>
      </c>
      <c r="Z48" s="197">
        <f t="shared" si="18"/>
        <v>3.9712550403896802E-3</v>
      </c>
      <c r="AB48" s="36">
        <f t="shared" si="29"/>
        <v>786688.15005711687</v>
      </c>
      <c r="AC48" s="37">
        <f t="shared" si="30"/>
        <v>11387102.319586059</v>
      </c>
      <c r="AD48" s="37">
        <f t="shared" si="19"/>
        <v>11514847.079773888</v>
      </c>
      <c r="AE48" s="37">
        <f t="shared" si="20"/>
        <v>23688637.549417064</v>
      </c>
      <c r="AF48" s="38">
        <f t="shared" si="21"/>
        <v>2.0424418278495718E-3</v>
      </c>
      <c r="AH48" s="228"/>
      <c r="AL48" s="11">
        <f t="shared" si="22"/>
        <v>489.61002774452152</v>
      </c>
      <c r="AM48" s="105">
        <f t="shared" si="23"/>
        <v>2.4296340796801947E-2</v>
      </c>
      <c r="AN48" s="11">
        <f t="shared" si="24"/>
        <v>2429634.0796801946</v>
      </c>
    </row>
    <row r="49" spans="1:40">
      <c r="A49" s="246">
        <v>53</v>
      </c>
      <c r="B49" s="4" t="s">
        <v>28</v>
      </c>
      <c r="C49" s="32">
        <v>1112166</v>
      </c>
      <c r="D49" s="32">
        <v>267154</v>
      </c>
      <c r="E49" s="34">
        <f t="shared" si="25"/>
        <v>0.24021054410942252</v>
      </c>
      <c r="F49" s="35">
        <f t="shared" si="9"/>
        <v>64173.207701008665</v>
      </c>
      <c r="G49" s="78">
        <f t="shared" si="26"/>
        <v>2.5192462910680293E-5</v>
      </c>
      <c r="H49" s="30">
        <v>2377</v>
      </c>
      <c r="I49" s="72">
        <f t="shared" si="27"/>
        <v>4.1092987015860824E-4</v>
      </c>
      <c r="J49" s="31">
        <f t="shared" si="10"/>
        <v>3.4929038963481702E-4</v>
      </c>
      <c r="K49" s="32">
        <v>683.1</v>
      </c>
      <c r="L49" s="69">
        <f t="shared" si="28"/>
        <v>1.0647417872573894E-2</v>
      </c>
      <c r="M49" s="33">
        <f t="shared" si="11"/>
        <v>1.5971126808860842E-3</v>
      </c>
      <c r="N49" s="78">
        <f t="shared" si="12"/>
        <v>1.9464030705209012E-3</v>
      </c>
      <c r="O49" s="193">
        <v>1875</v>
      </c>
      <c r="P49" s="193">
        <v>790</v>
      </c>
      <c r="Q49" s="194">
        <v>2.1956719391999999</v>
      </c>
      <c r="R49" s="195">
        <f t="shared" si="13"/>
        <v>7.3449904840534679E-4</v>
      </c>
      <c r="S49" s="196">
        <f t="shared" si="4"/>
        <v>1.6127189499527224E-3</v>
      </c>
      <c r="T49" s="196">
        <f t="shared" si="14"/>
        <v>8.3644867266416574E-4</v>
      </c>
      <c r="U49" s="193">
        <f t="shared" si="15"/>
        <v>2061525.056731995</v>
      </c>
      <c r="V49" s="195">
        <f t="shared" si="5"/>
        <v>2.3734177215189876</v>
      </c>
      <c r="W49" s="195">
        <f t="shared" si="16"/>
        <v>3.1538571893977414E-2</v>
      </c>
      <c r="X49" s="193">
        <f t="shared" si="17"/>
        <v>13717143.401017981</v>
      </c>
      <c r="Y49" s="32">
        <f t="shared" si="6"/>
        <v>15778668.457749976</v>
      </c>
      <c r="Z49" s="197">
        <f t="shared" si="18"/>
        <v>5.4417671558611531E-3</v>
      </c>
      <c r="AB49" s="36">
        <f t="shared" si="29"/>
        <v>146093.54223237906</v>
      </c>
      <c r="AC49" s="37">
        <f t="shared" si="30"/>
        <v>5643690.3408881277</v>
      </c>
      <c r="AD49" s="37">
        <f t="shared" si="19"/>
        <v>15778668.457749976</v>
      </c>
      <c r="AE49" s="37">
        <f t="shared" si="20"/>
        <v>21568452.340870485</v>
      </c>
      <c r="AF49" s="38">
        <f t="shared" si="21"/>
        <v>1.8596387880508534E-3</v>
      </c>
      <c r="AH49" s="228"/>
      <c r="AL49" s="11">
        <f t="shared" si="22"/>
        <v>537.73883746968511</v>
      </c>
      <c r="AM49" s="105">
        <f t="shared" si="23"/>
        <v>2.6684678242858462E-2</v>
      </c>
      <c r="AN49" s="11">
        <f t="shared" si="24"/>
        <v>2668467.8242858462</v>
      </c>
    </row>
    <row r="50" spans="1:40">
      <c r="A50" s="246">
        <v>54</v>
      </c>
      <c r="B50" s="4" t="s">
        <v>29</v>
      </c>
      <c r="C50" s="32">
        <v>18582885</v>
      </c>
      <c r="D50" s="32">
        <v>7763840.4800000004</v>
      </c>
      <c r="E50" s="34">
        <f t="shared" si="25"/>
        <v>0.41779521748103166</v>
      </c>
      <c r="F50" s="35">
        <f t="shared" si="9"/>
        <v>3243695.4218296376</v>
      </c>
      <c r="G50" s="78">
        <f t="shared" si="26"/>
        <v>1.2733768426960244E-3</v>
      </c>
      <c r="H50" s="30">
        <v>34709</v>
      </c>
      <c r="I50" s="72">
        <f t="shared" si="27"/>
        <v>6.0004059164220159E-3</v>
      </c>
      <c r="J50" s="31">
        <f t="shared" si="10"/>
        <v>5.1003450289587131E-3</v>
      </c>
      <c r="K50" s="32">
        <v>1541.5</v>
      </c>
      <c r="L50" s="69">
        <f t="shared" si="28"/>
        <v>2.4027220978733214E-2</v>
      </c>
      <c r="M50" s="33">
        <f t="shared" si="11"/>
        <v>3.6040831468099818E-3</v>
      </c>
      <c r="N50" s="78">
        <f t="shared" si="12"/>
        <v>8.7044281757686949E-3</v>
      </c>
      <c r="O50" s="193">
        <v>9838</v>
      </c>
      <c r="P50" s="193">
        <v>7575</v>
      </c>
      <c r="Q50" s="194">
        <v>1.6303971907999999</v>
      </c>
      <c r="R50" s="195">
        <f t="shared" si="13"/>
        <v>7.0428231540132936E-3</v>
      </c>
      <c r="S50" s="196">
        <f t="shared" si="4"/>
        <v>1.1482599085604469E-2</v>
      </c>
      <c r="T50" s="196">
        <f t="shared" si="14"/>
        <v>5.9555353796581761E-3</v>
      </c>
      <c r="U50" s="193">
        <f t="shared" si="15"/>
        <v>14678109.742602983</v>
      </c>
      <c r="V50" s="195">
        <f t="shared" si="5"/>
        <v>1.2987458745874587</v>
      </c>
      <c r="W50" s="195">
        <f t="shared" si="16"/>
        <v>1.7258061978010494E-2</v>
      </c>
      <c r="X50" s="193">
        <f t="shared" si="17"/>
        <v>7506088.4738802016</v>
      </c>
      <c r="Y50" s="32">
        <f t="shared" si="6"/>
        <v>22184198.216483183</v>
      </c>
      <c r="Z50" s="197">
        <f t="shared" si="18"/>
        <v>7.6509143694110226E-3</v>
      </c>
      <c r="AB50" s="36">
        <f t="shared" si="29"/>
        <v>7384436.1389245987</v>
      </c>
      <c r="AC50" s="37">
        <f t="shared" si="30"/>
        <v>25238912.721912868</v>
      </c>
      <c r="AD50" s="37">
        <f t="shared" si="19"/>
        <v>22184198.216483183</v>
      </c>
      <c r="AE50" s="37">
        <f t="shared" si="20"/>
        <v>54807547.07732065</v>
      </c>
      <c r="AF50" s="38">
        <f t="shared" si="21"/>
        <v>4.7255240576429399E-3</v>
      </c>
      <c r="AH50" s="228"/>
      <c r="AL50" s="11">
        <f t="shared" si="22"/>
        <v>211.61674087398328</v>
      </c>
      <c r="AM50" s="105">
        <f t="shared" si="23"/>
        <v>1.0501240095649483E-2</v>
      </c>
      <c r="AN50" s="11">
        <f t="shared" si="24"/>
        <v>1050124.0095649483</v>
      </c>
    </row>
    <row r="51" spans="1:40">
      <c r="A51" s="246">
        <v>55</v>
      </c>
      <c r="B51" s="4" t="s">
        <v>30</v>
      </c>
      <c r="C51" s="32">
        <v>126915948</v>
      </c>
      <c r="D51" s="32">
        <v>36493940.880000003</v>
      </c>
      <c r="E51" s="34">
        <f t="shared" si="25"/>
        <v>0.28754416962634199</v>
      </c>
      <c r="F51" s="35">
        <f t="shared" si="9"/>
        <v>10493619.926732417</v>
      </c>
      <c r="G51" s="78">
        <f t="shared" si="26"/>
        <v>4.1194782102005932E-3</v>
      </c>
      <c r="H51" s="30">
        <v>86766</v>
      </c>
      <c r="I51" s="72">
        <f t="shared" si="27"/>
        <v>1.4999891087161044E-2</v>
      </c>
      <c r="J51" s="31">
        <f t="shared" si="10"/>
        <v>1.2749907424086887E-2</v>
      </c>
      <c r="K51" s="32">
        <v>1667.4</v>
      </c>
      <c r="L51" s="69">
        <f t="shared" si="28"/>
        <v>2.5989612883515902E-2</v>
      </c>
      <c r="M51" s="33">
        <f t="shared" si="11"/>
        <v>3.8984419325273851E-3</v>
      </c>
      <c r="N51" s="78">
        <f t="shared" si="12"/>
        <v>1.6648349356614273E-2</v>
      </c>
      <c r="O51" s="193">
        <v>13606</v>
      </c>
      <c r="P51" s="193">
        <v>22970</v>
      </c>
      <c r="Q51" s="194">
        <v>1.9100372027999999</v>
      </c>
      <c r="R51" s="195">
        <f t="shared" si="13"/>
        <v>2.1356257141608628E-2</v>
      </c>
      <c r="S51" s="196">
        <f t="shared" si="4"/>
        <v>4.0791245653035664E-2</v>
      </c>
      <c r="T51" s="196">
        <f t="shared" si="14"/>
        <v>2.1156682808123412E-2</v>
      </c>
      <c r="U51" s="193">
        <f t="shared" si="15"/>
        <v>52143105.909128368</v>
      </c>
      <c r="V51" s="195">
        <f t="shared" si="5"/>
        <v>0.59233783195472356</v>
      </c>
      <c r="W51" s="195">
        <f t="shared" si="16"/>
        <v>7.8711341578214088E-3</v>
      </c>
      <c r="X51" s="193">
        <f t="shared" si="17"/>
        <v>3423410.4300741958</v>
      </c>
      <c r="Y51" s="32">
        <f t="shared" si="6"/>
        <v>55566516.33920256</v>
      </c>
      <c r="Z51" s="197">
        <f t="shared" si="18"/>
        <v>1.9163850510578111E-2</v>
      </c>
      <c r="AB51" s="36">
        <f t="shared" si="29"/>
        <v>23889254.735080365</v>
      </c>
      <c r="AC51" s="37">
        <f t="shared" si="30"/>
        <v>48272698.434713081</v>
      </c>
      <c r="AD51" s="37">
        <f t="shared" si="19"/>
        <v>55566516.33920256</v>
      </c>
      <c r="AE51" s="37">
        <f t="shared" si="20"/>
        <v>127728469.50899601</v>
      </c>
      <c r="AF51" s="38">
        <f t="shared" si="21"/>
        <v>1.1012789071898389E-2</v>
      </c>
      <c r="AH51" s="228"/>
      <c r="AL51" s="11">
        <f t="shared" si="22"/>
        <v>90.803518842626815</v>
      </c>
      <c r="AM51" s="105">
        <f t="shared" si="23"/>
        <v>4.506021352365927E-3</v>
      </c>
      <c r="AN51" s="11">
        <f t="shared" si="24"/>
        <v>450602.13523659273</v>
      </c>
    </row>
    <row r="52" spans="1:40">
      <c r="A52" s="246">
        <v>58</v>
      </c>
      <c r="B52" s="4" t="s">
        <v>143</v>
      </c>
      <c r="C52" s="32">
        <v>649205075</v>
      </c>
      <c r="D52" s="32">
        <v>353219962.69999999</v>
      </c>
      <c r="E52" s="34">
        <f t="shared" si="25"/>
        <v>0.54408071702150507</v>
      </c>
      <c r="F52" s="35">
        <f t="shared" si="9"/>
        <v>192180170.57212526</v>
      </c>
      <c r="G52" s="78">
        <f t="shared" si="26"/>
        <v>7.5444129922001391E-2</v>
      </c>
      <c r="H52" s="30">
        <v>412199</v>
      </c>
      <c r="I52" s="72">
        <f t="shared" si="27"/>
        <v>7.125994175410523E-2</v>
      </c>
      <c r="J52" s="31">
        <f t="shared" si="10"/>
        <v>6.0570950490989442E-2</v>
      </c>
      <c r="K52" s="32">
        <v>60.1</v>
      </c>
      <c r="L52" s="69">
        <f t="shared" si="28"/>
        <v>9.3677326034503157E-4</v>
      </c>
      <c r="M52" s="33">
        <f t="shared" si="11"/>
        <v>1.4051598905175474E-4</v>
      </c>
      <c r="N52" s="78">
        <f t="shared" si="12"/>
        <v>6.07114664800412E-2</v>
      </c>
      <c r="O52" s="193">
        <v>47668</v>
      </c>
      <c r="P52" s="193">
        <v>40796</v>
      </c>
      <c r="Q52" s="194">
        <v>1.7340616191</v>
      </c>
      <c r="R52" s="195">
        <f t="shared" si="13"/>
        <v>3.7929902757904463E-2</v>
      </c>
      <c r="S52" s="196">
        <f t="shared" si="4"/>
        <v>6.5772788588677369E-2</v>
      </c>
      <c r="T52" s="196">
        <f t="shared" si="14"/>
        <v>3.4113545769418024E-2</v>
      </c>
      <c r="U52" s="193">
        <f t="shared" si="15"/>
        <v>84076801.931712642</v>
      </c>
      <c r="V52" s="195">
        <f t="shared" si="5"/>
        <v>1.1684478870477497</v>
      </c>
      <c r="W52" s="195">
        <f t="shared" si="16"/>
        <v>1.5526629533395704E-2</v>
      </c>
      <c r="X52" s="193">
        <f t="shared" si="17"/>
        <v>6753032.590062852</v>
      </c>
      <c r="Y52" s="32">
        <f t="shared" si="6"/>
        <v>90829834.521775499</v>
      </c>
      <c r="Z52" s="197">
        <f t="shared" si="18"/>
        <v>3.1325508334014679E-2</v>
      </c>
      <c r="AB52" s="36">
        <f t="shared" si="29"/>
        <v>437507845.89911175</v>
      </c>
      <c r="AC52" s="37">
        <f t="shared" si="30"/>
        <v>176035848.96876708</v>
      </c>
      <c r="AD52" s="37">
        <f t="shared" si="19"/>
        <v>90829834.521775499</v>
      </c>
      <c r="AE52" s="37">
        <f t="shared" si="20"/>
        <v>704373529.38965428</v>
      </c>
      <c r="AF52" s="38">
        <f t="shared" si="21"/>
        <v>6.0731308664514642E-2</v>
      </c>
      <c r="AH52" s="228"/>
      <c r="AL52" s="11">
        <f t="shared" si="22"/>
        <v>16.465971539063851</v>
      </c>
      <c r="AM52" s="105">
        <f t="shared" si="23"/>
        <v>8.171051109931301E-4</v>
      </c>
      <c r="AN52" s="11">
        <f t="shared" si="24"/>
        <v>81710.511099313007</v>
      </c>
    </row>
    <row r="53" spans="1:40">
      <c r="A53" s="246">
        <v>31</v>
      </c>
      <c r="B53" s="4" t="s">
        <v>144</v>
      </c>
      <c r="C53" s="32">
        <v>1187612062</v>
      </c>
      <c r="D53" s="32">
        <v>868048268.77999997</v>
      </c>
      <c r="E53" s="34">
        <f t="shared" si="25"/>
        <v>0.73091904044672795</v>
      </c>
      <c r="F53" s="35">
        <f t="shared" si="9"/>
        <v>634473007.67812097</v>
      </c>
      <c r="G53" s="78">
        <f t="shared" si="26"/>
        <v>0.24907493775642453</v>
      </c>
      <c r="H53" s="30">
        <v>132169</v>
      </c>
      <c r="I53" s="72">
        <f t="shared" si="27"/>
        <v>2.2849049225491413E-2</v>
      </c>
      <c r="J53" s="31">
        <f t="shared" si="10"/>
        <v>1.9421691841667702E-2</v>
      </c>
      <c r="K53" s="32">
        <v>70.8</v>
      </c>
      <c r="L53" s="69">
        <f t="shared" si="28"/>
        <v>1.103553191887325E-3</v>
      </c>
      <c r="M53" s="33">
        <f t="shared" si="11"/>
        <v>1.6553297878309873E-4</v>
      </c>
      <c r="N53" s="78">
        <f t="shared" si="12"/>
        <v>1.9587224820450801E-2</v>
      </c>
      <c r="O53" s="193">
        <v>4761</v>
      </c>
      <c r="P53" s="193">
        <v>6438</v>
      </c>
      <c r="Q53" s="194">
        <v>1.903799258</v>
      </c>
      <c r="R53" s="195">
        <f t="shared" si="13"/>
        <v>5.9857023716881298E-3</v>
      </c>
      <c r="S53" s="196">
        <f t="shared" si="4"/>
        <v>1.1395575733828702E-2</v>
      </c>
      <c r="T53" s="196">
        <f t="shared" si="14"/>
        <v>5.91040007131089E-3</v>
      </c>
      <c r="U53" s="193">
        <f t="shared" si="15"/>
        <v>14566868.52465127</v>
      </c>
      <c r="V53" s="195">
        <f t="shared" si="5"/>
        <v>0.73951537744641194</v>
      </c>
      <c r="W53" s="195">
        <f t="shared" si="16"/>
        <v>9.8268664158151723E-3</v>
      </c>
      <c r="X53" s="193">
        <f t="shared" si="17"/>
        <v>4274021.5461095423</v>
      </c>
      <c r="Y53" s="32">
        <f t="shared" si="6"/>
        <v>18840890.070760813</v>
      </c>
      <c r="Z53" s="197">
        <f t="shared" si="18"/>
        <v>6.4978700229865322E-3</v>
      </c>
      <c r="AB53" s="36">
        <f t="shared" si="29"/>
        <v>1444409785.0678453</v>
      </c>
      <c r="AC53" s="37">
        <f t="shared" si="30"/>
        <v>56794110.735962957</v>
      </c>
      <c r="AD53" s="37">
        <f t="shared" si="19"/>
        <v>18840890.070760813</v>
      </c>
      <c r="AE53" s="37">
        <f t="shared" si="20"/>
        <v>1520044785.8745689</v>
      </c>
      <c r="AF53" s="38">
        <f t="shared" si="21"/>
        <v>0.13105874258907152</v>
      </c>
      <c r="AH53" s="228"/>
      <c r="AL53" s="11">
        <f t="shared" si="22"/>
        <v>7.6301662921904612</v>
      </c>
      <c r="AM53" s="105">
        <f t="shared" si="23"/>
        <v>3.7863832451582073E-4</v>
      </c>
      <c r="AN53" s="11">
        <f t="shared" si="24"/>
        <v>37863.832451582071</v>
      </c>
    </row>
    <row r="54" spans="1:40">
      <c r="A54" s="246">
        <v>57</v>
      </c>
      <c r="B54" s="4" t="s">
        <v>31</v>
      </c>
      <c r="C54" s="32">
        <v>308328957</v>
      </c>
      <c r="D54" s="32">
        <v>202042327.25</v>
      </c>
      <c r="E54" s="34">
        <f t="shared" si="25"/>
        <v>0.6552817134525577</v>
      </c>
      <c r="F54" s="35">
        <f t="shared" si="9"/>
        <v>132394642.39032239</v>
      </c>
      <c r="G54" s="78">
        <f t="shared" si="26"/>
        <v>5.1974137455163445E-2</v>
      </c>
      <c r="H54" s="30">
        <v>306322</v>
      </c>
      <c r="I54" s="72">
        <f t="shared" si="27"/>
        <v>5.2956188341070756E-2</v>
      </c>
      <c r="J54" s="31">
        <f t="shared" si="10"/>
        <v>4.5012760089910141E-2</v>
      </c>
      <c r="K54" s="32">
        <v>915.8</v>
      </c>
      <c r="L54" s="69">
        <f t="shared" si="28"/>
        <v>1.4274491710881529E-2</v>
      </c>
      <c r="M54" s="33">
        <f t="shared" si="11"/>
        <v>2.1411737566322292E-3</v>
      </c>
      <c r="N54" s="78">
        <f t="shared" si="12"/>
        <v>4.7153933846542373E-2</v>
      </c>
      <c r="O54" s="193">
        <v>43432</v>
      </c>
      <c r="P54" s="193">
        <v>47092</v>
      </c>
      <c r="Q54" s="194">
        <v>1.8493369051999999</v>
      </c>
      <c r="R54" s="195">
        <f t="shared" si="13"/>
        <v>4.378358125000581E-2</v>
      </c>
      <c r="S54" s="196">
        <f t="shared" si="4"/>
        <v>8.0970592647458484E-2</v>
      </c>
      <c r="T54" s="196">
        <f t="shared" si="14"/>
        <v>4.1995999827981793E-2</v>
      </c>
      <c r="U54" s="193">
        <f t="shared" si="15"/>
        <v>103504026.91434148</v>
      </c>
      <c r="V54" s="195">
        <f t="shared" si="5"/>
        <v>0.92227979274611394</v>
      </c>
      <c r="W54" s="195">
        <f t="shared" si="16"/>
        <v>1.2255485954351926E-2</v>
      </c>
      <c r="X54" s="193">
        <f t="shared" si="17"/>
        <v>5330306.6115403054</v>
      </c>
      <c r="Y54" s="32">
        <f t="shared" si="6"/>
        <v>108834333.52588178</v>
      </c>
      <c r="Z54" s="197">
        <f t="shared" si="18"/>
        <v>3.7534922746937309E-2</v>
      </c>
      <c r="AB54" s="36">
        <f t="shared" si="29"/>
        <v>301403077.27031809</v>
      </c>
      <c r="AC54" s="37">
        <f t="shared" si="30"/>
        <v>136725123.90426338</v>
      </c>
      <c r="AD54" s="37">
        <f t="shared" si="19"/>
        <v>108834333.52588178</v>
      </c>
      <c r="AE54" s="37">
        <f t="shared" si="20"/>
        <v>546962534.70046329</v>
      </c>
      <c r="AF54" s="38">
        <f t="shared" si="21"/>
        <v>4.7159282875951634E-2</v>
      </c>
      <c r="AH54" s="228"/>
      <c r="AL54" s="11">
        <f t="shared" si="22"/>
        <v>21.204732960643454</v>
      </c>
      <c r="AM54" s="105">
        <f t="shared" si="23"/>
        <v>1.0522607571791861E-3</v>
      </c>
      <c r="AN54" s="11">
        <f t="shared" si="24"/>
        <v>105226.0757179186</v>
      </c>
    </row>
    <row r="55" spans="1:40">
      <c r="A55" s="246">
        <v>56</v>
      </c>
      <c r="B55" s="4" t="s">
        <v>32</v>
      </c>
      <c r="C55" s="32">
        <v>208470911</v>
      </c>
      <c r="D55" s="32">
        <v>109150868.86</v>
      </c>
      <c r="E55" s="34">
        <f t="shared" si="25"/>
        <v>0.52357841358500135</v>
      </c>
      <c r="F55" s="35">
        <f t="shared" si="9"/>
        <v>57149038.759143323</v>
      </c>
      <c r="G55" s="78">
        <f t="shared" si="26"/>
        <v>2.2434986357992501E-2</v>
      </c>
      <c r="H55" s="30">
        <v>46784</v>
      </c>
      <c r="I55" s="72">
        <f t="shared" si="27"/>
        <v>8.0879019964242016E-3</v>
      </c>
      <c r="J55" s="31">
        <f t="shared" si="10"/>
        <v>6.8747166969605712E-3</v>
      </c>
      <c r="K55" s="32">
        <v>739.2</v>
      </c>
      <c r="L55" s="69">
        <f t="shared" si="28"/>
        <v>1.1521843494959192E-2</v>
      </c>
      <c r="M55" s="33">
        <f t="shared" si="11"/>
        <v>1.7282765242438787E-3</v>
      </c>
      <c r="N55" s="78">
        <f t="shared" si="12"/>
        <v>8.6029932212044503E-3</v>
      </c>
      <c r="O55" s="193">
        <v>7735</v>
      </c>
      <c r="P55" s="193">
        <v>5334</v>
      </c>
      <c r="Q55" s="194">
        <v>2.0438860060000001</v>
      </c>
      <c r="R55" s="195">
        <f t="shared" si="13"/>
        <v>4.9592631951824303E-3</v>
      </c>
      <c r="S55" s="196">
        <f t="shared" si="4"/>
        <v>1.0136168644704216E-2</v>
      </c>
      <c r="T55" s="196">
        <f t="shared" si="14"/>
        <v>5.2571992218554417E-3</v>
      </c>
      <c r="U55" s="193">
        <f t="shared" si="15"/>
        <v>12956979.045190424</v>
      </c>
      <c r="V55" s="195">
        <f t="shared" si="5"/>
        <v>1.4501312335958005</v>
      </c>
      <c r="W55" s="195">
        <f t="shared" si="16"/>
        <v>1.9269708720803205E-2</v>
      </c>
      <c r="X55" s="193">
        <f t="shared" si="17"/>
        <v>8381018.6050174236</v>
      </c>
      <c r="Y55" s="32">
        <f t="shared" si="6"/>
        <v>21337997.650207847</v>
      </c>
      <c r="Z55" s="197">
        <f t="shared" si="18"/>
        <v>7.3590756466976057E-3</v>
      </c>
      <c r="AB55" s="36">
        <f t="shared" si="29"/>
        <v>130102667.5555684</v>
      </c>
      <c r="AC55" s="37">
        <f t="shared" si="30"/>
        <v>24944797.139188554</v>
      </c>
      <c r="AD55" s="37">
        <f t="shared" si="19"/>
        <v>21337997.650207847</v>
      </c>
      <c r="AE55" s="37">
        <f t="shared" si="20"/>
        <v>176385462.3449648</v>
      </c>
      <c r="AF55" s="38">
        <f t="shared" si="21"/>
        <v>1.520801039597176E-2</v>
      </c>
      <c r="AH55" s="228"/>
      <c r="AL55" s="11">
        <f t="shared" si="22"/>
        <v>65.754820911016495</v>
      </c>
      <c r="AM55" s="105">
        <f t="shared" si="23"/>
        <v>3.2630082052166713E-3</v>
      </c>
      <c r="AN55" s="11">
        <f t="shared" si="24"/>
        <v>326300.82052166713</v>
      </c>
    </row>
    <row r="56" spans="1:40">
      <c r="A56" s="246">
        <v>59</v>
      </c>
      <c r="B56" s="4" t="s">
        <v>33</v>
      </c>
      <c r="C56" s="32">
        <v>4538835</v>
      </c>
      <c r="D56" s="32">
        <v>1301773</v>
      </c>
      <c r="E56" s="34">
        <f t="shared" si="25"/>
        <v>0.28680773810900817</v>
      </c>
      <c r="F56" s="35">
        <f t="shared" si="9"/>
        <v>373358.56966137787</v>
      </c>
      <c r="G56" s="78">
        <f t="shared" si="26"/>
        <v>1.4656929668222066E-4</v>
      </c>
      <c r="H56" s="30">
        <v>1552</v>
      </c>
      <c r="I56" s="72">
        <f t="shared" si="27"/>
        <v>2.6830591438206137E-4</v>
      </c>
      <c r="J56" s="31">
        <f t="shared" si="10"/>
        <v>2.2806002722475217E-4</v>
      </c>
      <c r="K56" s="32">
        <v>1764.9</v>
      </c>
      <c r="L56" s="69">
        <f t="shared" si="28"/>
        <v>2.7509336558784465E-2</v>
      </c>
      <c r="M56" s="33">
        <f t="shared" si="11"/>
        <v>4.1264004838176696E-3</v>
      </c>
      <c r="N56" s="78">
        <f t="shared" si="12"/>
        <v>4.354460511042422E-3</v>
      </c>
      <c r="O56" s="193">
        <v>549</v>
      </c>
      <c r="P56" s="193">
        <v>170</v>
      </c>
      <c r="Q56" s="194">
        <v>2.1071899398</v>
      </c>
      <c r="R56" s="195">
        <f t="shared" si="13"/>
        <v>1.5805675725178347E-4</v>
      </c>
      <c r="S56" s="196">
        <f t="shared" si="4"/>
        <v>3.3305560879836883E-4</v>
      </c>
      <c r="T56" s="196">
        <f t="shared" si="14"/>
        <v>1.7274176750444833E-4</v>
      </c>
      <c r="U56" s="193">
        <f t="shared" si="15"/>
        <v>425742.18083262083</v>
      </c>
      <c r="V56" s="195">
        <f t="shared" si="5"/>
        <v>3.2294117647058824</v>
      </c>
      <c r="W56" s="195">
        <f t="shared" si="16"/>
        <v>4.2913236129057078E-2</v>
      </c>
      <c r="X56" s="193">
        <f t="shared" si="17"/>
        <v>18664352.202213358</v>
      </c>
      <c r="Y56" s="32">
        <f t="shared" si="6"/>
        <v>19090094.383045979</v>
      </c>
      <c r="Z56" s="197">
        <f t="shared" si="18"/>
        <v>6.5838159217373425E-3</v>
      </c>
      <c r="AB56" s="36">
        <f t="shared" si="29"/>
        <v>849969.60443022719</v>
      </c>
      <c r="AC56" s="37">
        <f t="shared" si="30"/>
        <v>12625969.974128747</v>
      </c>
      <c r="AD56" s="37">
        <f t="shared" si="19"/>
        <v>19090094.383045979</v>
      </c>
      <c r="AE56" s="37">
        <f t="shared" si="20"/>
        <v>32566033.961604953</v>
      </c>
      <c r="AF56" s="38">
        <f t="shared" si="21"/>
        <v>2.8078537565360503E-3</v>
      </c>
      <c r="AH56" s="228"/>
      <c r="AL56" s="11">
        <f t="shared" si="22"/>
        <v>356.14390445806708</v>
      </c>
      <c r="AM56" s="105">
        <f t="shared" si="23"/>
        <v>1.7673236218789214E-2</v>
      </c>
      <c r="AN56" s="11">
        <f t="shared" si="24"/>
        <v>1767323.6218789215</v>
      </c>
    </row>
    <row r="57" spans="1:40">
      <c r="A57" s="246">
        <v>60</v>
      </c>
      <c r="B57" s="4" t="s">
        <v>34</v>
      </c>
      <c r="C57" s="32">
        <v>3120510</v>
      </c>
      <c r="D57" s="32">
        <v>846367</v>
      </c>
      <c r="E57" s="34">
        <f t="shared" si="25"/>
        <v>0.2712271391535358</v>
      </c>
      <c r="F57" s="35">
        <f t="shared" si="9"/>
        <v>229557.70008396063</v>
      </c>
      <c r="G57" s="78">
        <f t="shared" si="26"/>
        <v>9.011741897289249E-5</v>
      </c>
      <c r="H57" s="30">
        <v>3573</v>
      </c>
      <c r="I57" s="72">
        <f t="shared" si="27"/>
        <v>6.1769138665406279E-4</v>
      </c>
      <c r="J57" s="31">
        <f t="shared" si="10"/>
        <v>5.2503767865595338E-4</v>
      </c>
      <c r="K57" s="32">
        <v>879.3</v>
      </c>
      <c r="L57" s="69">
        <f t="shared" si="28"/>
        <v>1.3705569514498939E-2</v>
      </c>
      <c r="M57" s="33">
        <f t="shared" si="11"/>
        <v>2.0558354271748409E-3</v>
      </c>
      <c r="N57" s="78">
        <f t="shared" si="12"/>
        <v>2.5808731058307942E-3</v>
      </c>
      <c r="O57" s="193">
        <v>1377</v>
      </c>
      <c r="P57" s="193">
        <v>417</v>
      </c>
      <c r="Q57" s="194">
        <v>1.7545098130000001</v>
      </c>
      <c r="R57" s="195">
        <f t="shared" si="13"/>
        <v>3.8770392808231595E-4</v>
      </c>
      <c r="S57" s="196">
        <f t="shared" si="4"/>
        <v>6.8023034635906966E-4</v>
      </c>
      <c r="T57" s="196">
        <f t="shared" si="14"/>
        <v>3.5280652610587192E-4</v>
      </c>
      <c r="U57" s="193">
        <f t="shared" si="15"/>
        <v>869532.72509746044</v>
      </c>
      <c r="V57" s="195">
        <f t="shared" si="5"/>
        <v>3.3021582733812949</v>
      </c>
      <c r="W57" s="195">
        <f t="shared" si="16"/>
        <v>4.3879910041151653E-2</v>
      </c>
      <c r="X57" s="193">
        <f t="shared" si="17"/>
        <v>19084789.903666686</v>
      </c>
      <c r="Y57" s="32">
        <f t="shared" si="6"/>
        <v>19954322.628764145</v>
      </c>
      <c r="Z57" s="197">
        <f t="shared" si="18"/>
        <v>6.8818720533627385E-3</v>
      </c>
      <c r="AB57" s="36">
        <f t="shared" si="29"/>
        <v>522599.67599308235</v>
      </c>
      <c r="AC57" s="37">
        <f t="shared" si="30"/>
        <v>7483367.0574394958</v>
      </c>
      <c r="AD57" s="37">
        <f t="shared" si="19"/>
        <v>19954322.628764145</v>
      </c>
      <c r="AE57" s="37">
        <f t="shared" si="20"/>
        <v>27960289.362196721</v>
      </c>
      <c r="AF57" s="38">
        <f t="shared" si="21"/>
        <v>2.4107449992848288E-3</v>
      </c>
      <c r="AH57" s="228"/>
      <c r="AL57" s="11">
        <f t="shared" si="22"/>
        <v>414.80952995719576</v>
      </c>
      <c r="AM57" s="105">
        <f t="shared" si="23"/>
        <v>2.058445116418273E-2</v>
      </c>
      <c r="AN57" s="11">
        <f t="shared" si="24"/>
        <v>2058445.116418273</v>
      </c>
    </row>
    <row r="58" spans="1:40" ht="13.5" thickBot="1">
      <c r="B58" s="6" t="s">
        <v>35</v>
      </c>
      <c r="C58" s="82">
        <f>SUM(C7:C57)</f>
        <v>8468114430</v>
      </c>
      <c r="D58" s="82">
        <f>SUM(D7:D57)</f>
        <v>4429099910.0499992</v>
      </c>
      <c r="E58" s="43">
        <f t="shared" si="25"/>
        <v>0.52303260031052734</v>
      </c>
      <c r="F58" s="44">
        <f t="shared" ref="F58:K58" si="31">SUM(F7:F57)</f>
        <v>2547317740.5692463</v>
      </c>
      <c r="G58" s="79">
        <f t="shared" si="31"/>
        <v>1.0000000000000004</v>
      </c>
      <c r="H58" s="39">
        <f t="shared" si="31"/>
        <v>5784442</v>
      </c>
      <c r="I58" s="73">
        <f t="shared" si="31"/>
        <v>1.0000000000000002</v>
      </c>
      <c r="J58" s="40">
        <f t="shared" si="31"/>
        <v>0.8500000000000002</v>
      </c>
      <c r="K58" s="41">
        <f t="shared" si="31"/>
        <v>64156.400000000016</v>
      </c>
      <c r="L58" s="70">
        <f t="shared" si="28"/>
        <v>1</v>
      </c>
      <c r="M58" s="42">
        <f>SUM(M7:M57)</f>
        <v>0.14999999999999997</v>
      </c>
      <c r="N58" s="79">
        <f>SUM(N7:N57)</f>
        <v>0.99999999999999989</v>
      </c>
      <c r="O58" s="198">
        <f>SUM(O7:O57)</f>
        <v>964355</v>
      </c>
      <c r="P58" s="199">
        <f t="shared" ref="P58:Y58" si="32">SUM(P7:P57)</f>
        <v>1075563</v>
      </c>
      <c r="Q58" s="200">
        <f t="shared" si="32"/>
        <v>98.366423307599987</v>
      </c>
      <c r="R58" s="200">
        <f>SUM(R7:R57)</f>
        <v>0.99999999999999989</v>
      </c>
      <c r="S58" s="201">
        <f t="shared" si="32"/>
        <v>1.9280548856824229</v>
      </c>
      <c r="T58" s="201">
        <f t="shared" si="32"/>
        <v>1</v>
      </c>
      <c r="U58" s="199">
        <f t="shared" si="32"/>
        <v>2464616328.6574988</v>
      </c>
      <c r="V58" s="200">
        <f>SUM(V7:V57)</f>
        <v>75.254444922162563</v>
      </c>
      <c r="W58" s="200">
        <f t="shared" si="32"/>
        <v>1</v>
      </c>
      <c r="X58" s="202">
        <f t="shared" si="32"/>
        <v>434932293.2924999</v>
      </c>
      <c r="Y58" s="198">
        <f t="shared" si="32"/>
        <v>2899548621.9499998</v>
      </c>
      <c r="Z58" s="203">
        <f>SUM(Z7:Z57)</f>
        <v>0.99999999999999978</v>
      </c>
      <c r="AB58" s="45">
        <f>SUM(AB7:AB57)</f>
        <v>5799097243.9000034</v>
      </c>
      <c r="AC58" s="46">
        <f>SUM(AC7:AC57)</f>
        <v>2899548621.9499998</v>
      </c>
      <c r="AD58" s="46">
        <f>SUM(AD7:AD57)</f>
        <v>2899548621.9499998</v>
      </c>
      <c r="AE58" s="46">
        <f>SUM(AE7:AE57)</f>
        <v>11598194487.800003</v>
      </c>
      <c r="AF58" s="47">
        <f>SUM(AF7:AF57)</f>
        <v>0.99999999999999967</v>
      </c>
      <c r="AL58" s="11">
        <f>SUM(AL7:AL57)</f>
        <v>20151.595330312761</v>
      </c>
      <c r="AM58" s="11">
        <f>SUM(AM7:AM57)</f>
        <v>1</v>
      </c>
      <c r="AN58" s="11">
        <f>SUM(AN7:AN57)</f>
        <v>100000000.00000003</v>
      </c>
    </row>
    <row r="59" spans="1:40" ht="13.5" thickTop="1">
      <c r="L59" s="49"/>
      <c r="S59" s="51"/>
    </row>
    <row r="60" spans="1:40" ht="86.45" customHeight="1">
      <c r="C60" s="262" t="s">
        <v>183</v>
      </c>
      <c r="D60" s="262"/>
      <c r="E60" s="262"/>
      <c r="F60" s="262"/>
      <c r="G60" s="262"/>
      <c r="L60" s="49"/>
      <c r="S60" s="51"/>
    </row>
    <row r="61" spans="1:40">
      <c r="S61" s="52"/>
      <c r="T61" s="52"/>
    </row>
    <row r="62" spans="1:40">
      <c r="S62" s="51"/>
    </row>
    <row r="63" spans="1:40">
      <c r="S63" s="51"/>
    </row>
    <row r="64" spans="1:40">
      <c r="S64" s="51"/>
    </row>
    <row r="65" spans="10:25">
      <c r="J65" s="11"/>
      <c r="M65" s="11"/>
      <c r="N65" s="11"/>
      <c r="S65" s="51"/>
      <c r="Y65" s="11"/>
    </row>
    <row r="66" spans="10:25">
      <c r="J66" s="11"/>
      <c r="M66" s="11"/>
      <c r="N66" s="11"/>
      <c r="S66" s="51"/>
      <c r="Y66" s="11"/>
    </row>
    <row r="67" spans="10:25">
      <c r="J67" s="11"/>
      <c r="M67" s="11"/>
      <c r="N67" s="11"/>
      <c r="S67" s="51"/>
      <c r="Y67" s="11"/>
    </row>
    <row r="68" spans="10:25">
      <c r="J68" s="11"/>
      <c r="M68" s="11"/>
      <c r="N68" s="11"/>
      <c r="S68" s="51"/>
      <c r="Y68" s="11"/>
    </row>
    <row r="69" spans="10:25">
      <c r="J69" s="11"/>
      <c r="M69" s="11"/>
      <c r="N69" s="11"/>
      <c r="S69" s="51"/>
      <c r="Y69" s="11"/>
    </row>
    <row r="70" spans="10:25">
      <c r="J70" s="11"/>
      <c r="M70" s="11"/>
      <c r="N70" s="11"/>
      <c r="S70" s="51"/>
      <c r="Y70" s="11"/>
    </row>
    <row r="71" spans="10:25">
      <c r="J71" s="11"/>
      <c r="M71" s="11"/>
      <c r="N71" s="11"/>
      <c r="S71" s="51"/>
      <c r="Y71" s="11"/>
    </row>
    <row r="72" spans="10:25">
      <c r="J72" s="11"/>
      <c r="M72" s="11"/>
      <c r="N72" s="11"/>
      <c r="S72" s="51"/>
      <c r="Y72" s="11"/>
    </row>
    <row r="73" spans="10:25">
      <c r="J73" s="11"/>
      <c r="M73" s="11"/>
      <c r="N73" s="11"/>
      <c r="S73" s="51"/>
      <c r="Y73" s="11"/>
    </row>
    <row r="74" spans="10:25">
      <c r="J74" s="11"/>
      <c r="M74" s="11"/>
      <c r="N74" s="11"/>
      <c r="S74" s="51"/>
      <c r="Y74" s="11"/>
    </row>
    <row r="75" spans="10:25">
      <c r="J75" s="11"/>
      <c r="M75" s="11"/>
      <c r="N75" s="11"/>
      <c r="S75" s="51"/>
      <c r="Y75" s="11"/>
    </row>
    <row r="76" spans="10:25">
      <c r="J76" s="11"/>
      <c r="M76" s="11"/>
      <c r="N76" s="11"/>
      <c r="S76" s="51"/>
      <c r="Y76" s="11"/>
    </row>
    <row r="77" spans="10:25">
      <c r="J77" s="11"/>
      <c r="M77" s="11"/>
      <c r="N77" s="11"/>
      <c r="S77" s="51"/>
      <c r="Y77" s="11"/>
    </row>
    <row r="78" spans="10:25">
      <c r="J78" s="11"/>
      <c r="M78" s="11"/>
      <c r="N78" s="11"/>
      <c r="S78" s="51"/>
      <c r="Y78" s="11"/>
    </row>
    <row r="79" spans="10:25">
      <c r="J79" s="11"/>
      <c r="M79" s="11"/>
      <c r="N79" s="11"/>
      <c r="S79" s="51"/>
      <c r="Y79" s="11"/>
    </row>
    <row r="80" spans="10:25">
      <c r="J80" s="11"/>
      <c r="M80" s="11"/>
      <c r="N80" s="11"/>
      <c r="S80" s="51"/>
      <c r="Y80" s="11"/>
    </row>
    <row r="81" spans="10:25">
      <c r="J81" s="11"/>
      <c r="M81" s="11"/>
      <c r="N81" s="11"/>
      <c r="S81" s="51"/>
      <c r="Y81" s="11"/>
    </row>
    <row r="82" spans="10:25">
      <c r="J82" s="11"/>
      <c r="M82" s="11"/>
      <c r="N82" s="11"/>
      <c r="S82" s="51"/>
      <c r="Y82" s="11"/>
    </row>
    <row r="83" spans="10:25">
      <c r="J83" s="11"/>
      <c r="M83" s="11"/>
      <c r="N83" s="11"/>
      <c r="S83" s="51"/>
      <c r="Y83" s="11"/>
    </row>
    <row r="84" spans="10:25">
      <c r="J84" s="11"/>
      <c r="M84" s="11"/>
      <c r="N84" s="11"/>
      <c r="S84" s="51"/>
      <c r="Y84" s="11"/>
    </row>
    <row r="85" spans="10:25">
      <c r="J85" s="11"/>
      <c r="M85" s="11"/>
      <c r="N85" s="11"/>
      <c r="S85" s="51"/>
      <c r="Y85" s="11"/>
    </row>
    <row r="86" spans="10:25">
      <c r="J86" s="11"/>
      <c r="M86" s="11"/>
      <c r="N86" s="11"/>
      <c r="S86" s="51"/>
      <c r="Y86" s="11"/>
    </row>
    <row r="87" spans="10:25">
      <c r="J87" s="11"/>
      <c r="M87" s="11"/>
      <c r="N87" s="11"/>
      <c r="S87" s="51"/>
      <c r="Y87" s="11"/>
    </row>
  </sheetData>
  <mergeCells count="6">
    <mergeCell ref="C60:G60"/>
    <mergeCell ref="AB3:AF3"/>
    <mergeCell ref="C3:G3"/>
    <mergeCell ref="H3:N3"/>
    <mergeCell ref="O3:T3"/>
    <mergeCell ref="U3:Z3"/>
  </mergeCells>
  <phoneticPr fontId="0" type="noConversion"/>
  <conditionalFormatting sqref="AH7:AH57">
    <cfRule type="top10" dxfId="0" priority="2" rank="5"/>
  </conditionalFormatting>
  <printOptions horizontalCentered="1"/>
  <pageMargins left="0.27559055118110237" right="0.19685039370078741" top="0.23622047244094491" bottom="0.23622047244094491" header="0.23622047244094491" footer="0.23622047244094491"/>
  <pageSetup scale="80" orientation="portrait" r:id="rId1"/>
  <headerFooter alignWithMargins="0">
    <oddHeader>&amp;LANEXO I</oddHeader>
  </headerFooter>
  <colBreaks count="2" manualBreakCount="2">
    <brk id="14" max="1048575" man="1"/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zoomScaleSheetLayoutView="100" workbookViewId="0">
      <selection activeCell="B1" sqref="B1:J57"/>
    </sheetView>
  </sheetViews>
  <sheetFormatPr baseColWidth="10" defaultColWidth="9.7109375" defaultRowHeight="12.75"/>
  <cols>
    <col min="1" max="1" width="3" style="11" bestFit="1" customWidth="1"/>
    <col min="2" max="2" width="26.28515625" style="11" customWidth="1"/>
    <col min="3" max="3" width="12.7109375" style="11" customWidth="1"/>
    <col min="4" max="8" width="11.7109375" style="11" customWidth="1"/>
    <col min="9" max="9" width="13.85546875" style="11" bestFit="1" customWidth="1"/>
    <col min="10" max="10" width="13.7109375" style="11" customWidth="1"/>
    <col min="11" max="16384" width="9.7109375" style="11"/>
  </cols>
  <sheetData>
    <row r="1" spans="1:10" ht="47.25" customHeight="1">
      <c r="B1" s="265" t="s">
        <v>205</v>
      </c>
      <c r="C1" s="265"/>
      <c r="D1" s="265"/>
      <c r="E1" s="265"/>
      <c r="F1" s="265"/>
      <c r="G1" s="265"/>
      <c r="H1" s="265"/>
      <c r="I1" s="265"/>
    </row>
    <row r="2" spans="1:10" ht="8.25" customHeight="1" thickBot="1"/>
    <row r="3" spans="1:10" ht="13.5" customHeight="1" thickBot="1">
      <c r="B3" s="266" t="s">
        <v>0</v>
      </c>
      <c r="C3" s="268" t="s">
        <v>203</v>
      </c>
      <c r="D3" s="269"/>
      <c r="E3" s="269"/>
      <c r="F3" s="269"/>
      <c r="G3" s="269"/>
      <c r="H3" s="269"/>
      <c r="I3" s="270"/>
    </row>
    <row r="4" spans="1:10" ht="26.25" thickBot="1">
      <c r="B4" s="267"/>
      <c r="C4" s="259" t="s">
        <v>78</v>
      </c>
      <c r="D4" s="256" t="s">
        <v>147</v>
      </c>
      <c r="E4" s="256" t="s">
        <v>79</v>
      </c>
      <c r="F4" s="256" t="s">
        <v>89</v>
      </c>
      <c r="G4" s="256" t="s">
        <v>100</v>
      </c>
      <c r="H4" s="256" t="s">
        <v>101</v>
      </c>
      <c r="I4" s="256" t="s">
        <v>36</v>
      </c>
      <c r="J4" s="8" t="s">
        <v>204</v>
      </c>
    </row>
    <row r="5" spans="1:10" ht="15.75" thickBot="1">
      <c r="B5" s="1"/>
      <c r="C5" s="1"/>
      <c r="D5" s="1"/>
      <c r="E5" s="1"/>
      <c r="F5" s="1"/>
      <c r="G5" s="1"/>
      <c r="H5" s="1"/>
      <c r="I5" s="1"/>
      <c r="J5" s="1"/>
    </row>
    <row r="6" spans="1:10" ht="12.75" customHeight="1" thickTop="1">
      <c r="A6" s="246">
        <v>15</v>
      </c>
      <c r="B6" s="2" t="s">
        <v>1</v>
      </c>
      <c r="C6" s="3">
        <v>8456683.4800000004</v>
      </c>
      <c r="D6" s="3">
        <v>1154944.1599999999</v>
      </c>
      <c r="E6" s="3">
        <v>283974.84000000003</v>
      </c>
      <c r="F6" s="3">
        <v>478710.51</v>
      </c>
      <c r="G6" s="3">
        <v>235438.53</v>
      </c>
      <c r="H6" s="3">
        <v>50454.75</v>
      </c>
      <c r="I6" s="247">
        <f>SUM(C6:H6)</f>
        <v>10660206.27</v>
      </c>
      <c r="J6" s="251">
        <f>+I6/I$57</f>
        <v>1.2861627539794776E-3</v>
      </c>
    </row>
    <row r="7" spans="1:10" ht="12.75" customHeight="1">
      <c r="A7" s="246">
        <v>11</v>
      </c>
      <c r="B7" s="4" t="s">
        <v>2</v>
      </c>
      <c r="C7" s="5">
        <v>16270247.26</v>
      </c>
      <c r="D7" s="106">
        <v>2222056.33</v>
      </c>
      <c r="E7" s="106">
        <v>546353.77</v>
      </c>
      <c r="F7" s="106">
        <v>921015.71</v>
      </c>
      <c r="G7" s="106">
        <v>452972.26</v>
      </c>
      <c r="H7" s="106">
        <v>97072.48</v>
      </c>
      <c r="I7" s="248">
        <f t="shared" ref="I7:I56" si="0">SUM(C7:H7)</f>
        <v>20509717.810000002</v>
      </c>
      <c r="J7" s="252">
        <f t="shared" ref="J7:J56" si="1">+I7/I$57</f>
        <v>2.4745145144223881E-3</v>
      </c>
    </row>
    <row r="8" spans="1:10" ht="12.75" customHeight="1">
      <c r="A8" s="246">
        <v>12</v>
      </c>
      <c r="B8" s="4" t="s">
        <v>145</v>
      </c>
      <c r="C8" s="5">
        <v>17073492.140000001</v>
      </c>
      <c r="D8" s="106">
        <v>2331756.9</v>
      </c>
      <c r="E8" s="106">
        <v>573326.68000000005</v>
      </c>
      <c r="F8" s="106">
        <v>966485.28</v>
      </c>
      <c r="G8" s="106">
        <v>475335.02</v>
      </c>
      <c r="H8" s="106">
        <v>101864.84</v>
      </c>
      <c r="I8" s="248">
        <f t="shared" si="0"/>
        <v>21522260.859999999</v>
      </c>
      <c r="J8" s="252">
        <f t="shared" si="1"/>
        <v>2.5966786756709088E-3</v>
      </c>
    </row>
    <row r="9" spans="1:10" ht="12.75" customHeight="1">
      <c r="A9" s="246">
        <v>13</v>
      </c>
      <c r="B9" s="4" t="s">
        <v>3</v>
      </c>
      <c r="C9" s="5">
        <v>47100062.189999998</v>
      </c>
      <c r="D9" s="106">
        <v>6432538.46</v>
      </c>
      <c r="E9" s="106">
        <v>1581616.81</v>
      </c>
      <c r="F9" s="106">
        <v>2666210.0699999998</v>
      </c>
      <c r="G9" s="106">
        <v>1311290.56</v>
      </c>
      <c r="H9" s="106">
        <v>281011.08</v>
      </c>
      <c r="I9" s="248">
        <f t="shared" si="0"/>
        <v>59372729.170000002</v>
      </c>
      <c r="J9" s="252">
        <f t="shared" si="1"/>
        <v>7.1633691625147952E-3</v>
      </c>
    </row>
    <row r="10" spans="1:10" ht="12.75" customHeight="1">
      <c r="A10" s="246">
        <v>14</v>
      </c>
      <c r="B10" s="4" t="s">
        <v>146</v>
      </c>
      <c r="C10" s="5">
        <v>59127255.659999996</v>
      </c>
      <c r="D10" s="106">
        <v>8075113.46</v>
      </c>
      <c r="E10" s="106">
        <v>1985489.12</v>
      </c>
      <c r="F10" s="106">
        <v>3347037.71</v>
      </c>
      <c r="G10" s="106">
        <v>1646133.97</v>
      </c>
      <c r="H10" s="106">
        <v>352768.4</v>
      </c>
      <c r="I10" s="248">
        <f t="shared" si="0"/>
        <v>74533798.319999993</v>
      </c>
      <c r="J10" s="252">
        <f t="shared" si="1"/>
        <v>8.992564766929426E-3</v>
      </c>
    </row>
    <row r="11" spans="1:10" ht="12.75" customHeight="1">
      <c r="A11" s="246">
        <v>17</v>
      </c>
      <c r="B11" s="4" t="s">
        <v>4</v>
      </c>
      <c r="C11" s="5">
        <v>405989025.50999999</v>
      </c>
      <c r="D11" s="106">
        <v>55446636.350000001</v>
      </c>
      <c r="E11" s="106">
        <v>13633083.18</v>
      </c>
      <c r="F11" s="106">
        <v>22981966.010000002</v>
      </c>
      <c r="G11" s="106">
        <v>11302948.529999999</v>
      </c>
      <c r="H11" s="106">
        <v>2422234.86</v>
      </c>
      <c r="I11" s="248">
        <f t="shared" si="0"/>
        <v>511775894.44</v>
      </c>
      <c r="J11" s="252">
        <f t="shared" si="1"/>
        <v>6.1746187375909083E-2</v>
      </c>
    </row>
    <row r="12" spans="1:10" ht="12.75" customHeight="1">
      <c r="A12" s="246">
        <v>16</v>
      </c>
      <c r="B12" s="4" t="s">
        <v>5</v>
      </c>
      <c r="C12" s="5">
        <v>67494144.25</v>
      </c>
      <c r="D12" s="106">
        <v>9217794.1699999999</v>
      </c>
      <c r="E12" s="106">
        <v>2266448.66</v>
      </c>
      <c r="F12" s="106">
        <v>3820665.17</v>
      </c>
      <c r="G12" s="106">
        <v>1879072.56</v>
      </c>
      <c r="H12" s="106">
        <v>402687.41</v>
      </c>
      <c r="I12" s="248">
        <f t="shared" si="0"/>
        <v>85080812.219999999</v>
      </c>
      <c r="J12" s="252">
        <f t="shared" si="1"/>
        <v>1.0265070767311334E-2</v>
      </c>
    </row>
    <row r="13" spans="1:10" ht="12.75" customHeight="1">
      <c r="A13" s="246">
        <v>18</v>
      </c>
      <c r="B13" s="4" t="s">
        <v>6</v>
      </c>
      <c r="C13" s="5">
        <v>10731926.619999999</v>
      </c>
      <c r="D13" s="106">
        <v>1465678.12</v>
      </c>
      <c r="E13" s="106">
        <v>360377.35</v>
      </c>
      <c r="F13" s="106">
        <v>607506.01</v>
      </c>
      <c r="G13" s="106">
        <v>298782.5</v>
      </c>
      <c r="H13" s="106">
        <v>64029.43</v>
      </c>
      <c r="I13" s="248">
        <f t="shared" si="0"/>
        <v>13528300.029999997</v>
      </c>
      <c r="J13" s="252">
        <f t="shared" si="1"/>
        <v>1.6322006518965273E-3</v>
      </c>
    </row>
    <row r="14" spans="1:10" ht="12.75" customHeight="1">
      <c r="A14" s="246">
        <v>19</v>
      </c>
      <c r="B14" s="4" t="s">
        <v>130</v>
      </c>
      <c r="C14" s="5">
        <v>106677450.62</v>
      </c>
      <c r="D14" s="106">
        <v>14569127.34</v>
      </c>
      <c r="E14" s="106">
        <v>3582221.36</v>
      </c>
      <c r="F14" s="106">
        <v>6038728.6100000003</v>
      </c>
      <c r="G14" s="106">
        <v>2969956.47</v>
      </c>
      <c r="H14" s="106">
        <v>636465.09</v>
      </c>
      <c r="I14" s="248">
        <f t="shared" si="0"/>
        <v>134473949.49000001</v>
      </c>
      <c r="J14" s="252">
        <f t="shared" si="1"/>
        <v>1.6224393865744174E-2</v>
      </c>
    </row>
    <row r="15" spans="1:10" ht="12.75" customHeight="1">
      <c r="A15" s="246">
        <v>20</v>
      </c>
      <c r="B15" s="4" t="s">
        <v>131</v>
      </c>
      <c r="C15" s="5">
        <v>18469977.07</v>
      </c>
      <c r="D15" s="106">
        <v>2522477.2999999998</v>
      </c>
      <c r="E15" s="106">
        <v>620220.54</v>
      </c>
      <c r="F15" s="106">
        <v>1045536.6</v>
      </c>
      <c r="G15" s="106">
        <v>514213.9</v>
      </c>
      <c r="H15" s="106">
        <v>110196.63</v>
      </c>
      <c r="I15" s="248">
        <f t="shared" si="0"/>
        <v>23282622.039999999</v>
      </c>
      <c r="J15" s="252">
        <f t="shared" si="1"/>
        <v>2.8090677163632111E-3</v>
      </c>
    </row>
    <row r="16" spans="1:10" ht="12.75" customHeight="1">
      <c r="A16" s="246">
        <v>23</v>
      </c>
      <c r="B16" s="4" t="s">
        <v>132</v>
      </c>
      <c r="C16" s="5">
        <v>25750823.350000001</v>
      </c>
      <c r="D16" s="106">
        <v>3516835.3</v>
      </c>
      <c r="E16" s="106">
        <v>864710.85</v>
      </c>
      <c r="F16" s="106">
        <v>1457686.07</v>
      </c>
      <c r="G16" s="106">
        <v>716916.5</v>
      </c>
      <c r="H16" s="106">
        <v>153636.03</v>
      </c>
      <c r="I16" s="248">
        <f t="shared" si="0"/>
        <v>32460608.100000005</v>
      </c>
      <c r="J16" s="252">
        <f t="shared" si="1"/>
        <v>3.9163993690475322E-3</v>
      </c>
    </row>
    <row r="17" spans="1:10" ht="12.75" customHeight="1">
      <c r="A17" s="246">
        <v>21</v>
      </c>
      <c r="B17" s="4" t="s">
        <v>7</v>
      </c>
      <c r="C17" s="5">
        <v>54157749.329999998</v>
      </c>
      <c r="D17" s="106">
        <v>7396419.2199999997</v>
      </c>
      <c r="E17" s="106">
        <v>1818613.45</v>
      </c>
      <c r="F17" s="106">
        <v>3065727.09</v>
      </c>
      <c r="G17" s="106">
        <v>1507780.3</v>
      </c>
      <c r="H17" s="106">
        <v>323119.05</v>
      </c>
      <c r="I17" s="248">
        <f t="shared" si="0"/>
        <v>68269408.439999998</v>
      </c>
      <c r="J17" s="252">
        <f t="shared" si="1"/>
        <v>8.2367609169855388E-3</v>
      </c>
    </row>
    <row r="18" spans="1:10" ht="12.75" customHeight="1">
      <c r="A18" s="246">
        <v>22</v>
      </c>
      <c r="B18" s="4" t="s">
        <v>133</v>
      </c>
      <c r="C18" s="5">
        <v>27763179.960000001</v>
      </c>
      <c r="D18" s="106">
        <v>3791666.39</v>
      </c>
      <c r="E18" s="106">
        <v>932285.65</v>
      </c>
      <c r="F18" s="106">
        <v>1571600.26</v>
      </c>
      <c r="G18" s="106">
        <v>772941.57</v>
      </c>
      <c r="H18" s="106">
        <v>165642.26999999999</v>
      </c>
      <c r="I18" s="248">
        <f t="shared" si="0"/>
        <v>34997316.100000001</v>
      </c>
      <c r="J18" s="252">
        <f t="shared" si="1"/>
        <v>4.2224552993632E-3</v>
      </c>
    </row>
    <row r="19" spans="1:10" ht="12.75" customHeight="1">
      <c r="A19" s="246">
        <v>25</v>
      </c>
      <c r="B19" s="4" t="s">
        <v>8</v>
      </c>
      <c r="C19" s="5">
        <v>151914214.69</v>
      </c>
      <c r="D19" s="106">
        <v>20747191.890000001</v>
      </c>
      <c r="E19" s="106">
        <v>5101268.74</v>
      </c>
      <c r="F19" s="106">
        <v>8599462.3000000007</v>
      </c>
      <c r="G19" s="106">
        <v>4229371.83</v>
      </c>
      <c r="H19" s="106">
        <v>906359.25</v>
      </c>
      <c r="I19" s="248">
        <f t="shared" si="0"/>
        <v>191497868.70000002</v>
      </c>
      <c r="J19" s="252">
        <f t="shared" si="1"/>
        <v>2.3104377152768963E-2</v>
      </c>
    </row>
    <row r="20" spans="1:10" ht="12.75" customHeight="1">
      <c r="A20" s="246">
        <v>27</v>
      </c>
      <c r="B20" s="4" t="s">
        <v>9</v>
      </c>
      <c r="C20" s="5">
        <v>19268404.920000002</v>
      </c>
      <c r="D20" s="106">
        <v>2631520</v>
      </c>
      <c r="E20" s="106">
        <v>647031.68999999994</v>
      </c>
      <c r="F20" s="106">
        <v>1090733.49</v>
      </c>
      <c r="G20" s="106">
        <v>536442.55000000005</v>
      </c>
      <c r="H20" s="106">
        <v>114960.26</v>
      </c>
      <c r="I20" s="248">
        <f t="shared" si="0"/>
        <v>24289092.910000004</v>
      </c>
      <c r="J20" s="252">
        <f t="shared" si="1"/>
        <v>2.9304992640436975E-3</v>
      </c>
    </row>
    <row r="21" spans="1:10" ht="12.75" customHeight="1">
      <c r="A21" s="246">
        <v>26</v>
      </c>
      <c r="B21" s="4" t="s">
        <v>134</v>
      </c>
      <c r="C21" s="5">
        <v>13505797.789999999</v>
      </c>
      <c r="D21" s="106">
        <v>1844510.59</v>
      </c>
      <c r="E21" s="106">
        <v>453523.75</v>
      </c>
      <c r="F21" s="106">
        <v>764527.53</v>
      </c>
      <c r="G21" s="106">
        <v>376008.53</v>
      </c>
      <c r="H21" s="106">
        <v>80579.06</v>
      </c>
      <c r="I21" s="248">
        <f t="shared" si="0"/>
        <v>17024947.249999996</v>
      </c>
      <c r="J21" s="252">
        <f t="shared" si="1"/>
        <v>2.0540740476136517E-3</v>
      </c>
    </row>
    <row r="22" spans="1:10" ht="12.75" customHeight="1">
      <c r="A22" s="246">
        <v>29</v>
      </c>
      <c r="B22" s="4" t="s">
        <v>10</v>
      </c>
      <c r="C22" s="5">
        <v>117677666.58</v>
      </c>
      <c r="D22" s="106">
        <v>16071446.210000001</v>
      </c>
      <c r="E22" s="106">
        <v>3951607.84</v>
      </c>
      <c r="F22" s="106">
        <v>6661421.7699999996</v>
      </c>
      <c r="G22" s="106">
        <v>3276208.28</v>
      </c>
      <c r="H22" s="106">
        <v>702095.2</v>
      </c>
      <c r="I22" s="248">
        <f t="shared" si="0"/>
        <v>148340445.88</v>
      </c>
      <c r="J22" s="252">
        <f t="shared" si="1"/>
        <v>1.789739818979736E-2</v>
      </c>
    </row>
    <row r="23" spans="1:10" ht="12.75" customHeight="1">
      <c r="A23" s="246">
        <v>30</v>
      </c>
      <c r="B23" s="4" t="s">
        <v>135</v>
      </c>
      <c r="C23" s="5">
        <v>145685695.75999999</v>
      </c>
      <c r="D23" s="106">
        <v>19896552.09</v>
      </c>
      <c r="E23" s="106">
        <v>4892115.51</v>
      </c>
      <c r="F23" s="106">
        <v>8246882.2999999998</v>
      </c>
      <c r="G23" s="106">
        <v>4055966.58</v>
      </c>
      <c r="H23" s="106">
        <v>869198.3</v>
      </c>
      <c r="I23" s="248">
        <f t="shared" si="0"/>
        <v>183646410.54000002</v>
      </c>
      <c r="J23" s="252">
        <f t="shared" si="1"/>
        <v>2.2157092194668406E-2</v>
      </c>
    </row>
    <row r="24" spans="1:10" ht="12.75" customHeight="1">
      <c r="A24" s="246">
        <v>32</v>
      </c>
      <c r="B24" s="4" t="s">
        <v>11</v>
      </c>
      <c r="C24" s="5">
        <v>22617688.309999999</v>
      </c>
      <c r="D24" s="106">
        <v>3088937.53</v>
      </c>
      <c r="E24" s="106">
        <v>759500.4</v>
      </c>
      <c r="F24" s="106">
        <v>1280327.57</v>
      </c>
      <c r="G24" s="106">
        <v>629688.37</v>
      </c>
      <c r="H24" s="106">
        <v>134942.94</v>
      </c>
      <c r="I24" s="248">
        <f t="shared" si="0"/>
        <v>28511085.120000001</v>
      </c>
      <c r="J24" s="252">
        <f t="shared" si="1"/>
        <v>3.4398861361697184E-3</v>
      </c>
    </row>
    <row r="25" spans="1:10" ht="12.75" customHeight="1">
      <c r="A25" s="246">
        <v>33</v>
      </c>
      <c r="B25" s="4" t="s">
        <v>12</v>
      </c>
      <c r="C25" s="5">
        <v>309170413.64999998</v>
      </c>
      <c r="D25" s="106">
        <v>42223947.990000002</v>
      </c>
      <c r="E25" s="106">
        <v>10381920.939999999</v>
      </c>
      <c r="F25" s="106">
        <v>17501320.210000001</v>
      </c>
      <c r="G25" s="106">
        <v>8607467.3300000001</v>
      </c>
      <c r="H25" s="106">
        <v>1844590.14</v>
      </c>
      <c r="I25" s="248">
        <f t="shared" si="0"/>
        <v>389729660.25999993</v>
      </c>
      <c r="J25" s="252">
        <f t="shared" si="1"/>
        <v>4.7021207700091501E-2</v>
      </c>
    </row>
    <row r="26" spans="1:10" ht="12.75" customHeight="1">
      <c r="A26" s="246">
        <v>34</v>
      </c>
      <c r="B26" s="4" t="s">
        <v>136</v>
      </c>
      <c r="C26" s="5">
        <v>45647843.009999998</v>
      </c>
      <c r="D26" s="106">
        <v>6234206.3300000001</v>
      </c>
      <c r="E26" s="106">
        <v>1532851.39</v>
      </c>
      <c r="F26" s="106">
        <v>2584003.7799999998</v>
      </c>
      <c r="G26" s="106">
        <v>1270860.02</v>
      </c>
      <c r="H26" s="106">
        <v>272346.76</v>
      </c>
      <c r="I26" s="248">
        <f t="shared" si="0"/>
        <v>57542111.289999999</v>
      </c>
      <c r="J26" s="252">
        <f t="shared" si="1"/>
        <v>6.9425035925257004E-3</v>
      </c>
    </row>
    <row r="27" spans="1:10" ht="12.75" customHeight="1">
      <c r="A27" s="246">
        <v>35</v>
      </c>
      <c r="B27" s="4" t="s">
        <v>13</v>
      </c>
      <c r="C27" s="5">
        <v>7432606.0899999999</v>
      </c>
      <c r="D27" s="106">
        <v>1015084.11</v>
      </c>
      <c r="E27" s="106">
        <v>249586.39</v>
      </c>
      <c r="F27" s="106">
        <v>420740.19</v>
      </c>
      <c r="G27" s="106">
        <v>206927.67</v>
      </c>
      <c r="H27" s="106">
        <v>44344.84</v>
      </c>
      <c r="I27" s="248">
        <f t="shared" si="0"/>
        <v>9369289.2899999991</v>
      </c>
      <c r="J27" s="252">
        <f t="shared" si="1"/>
        <v>1.1304125465160277E-3</v>
      </c>
    </row>
    <row r="28" spans="1:10" ht="12.75" customHeight="1">
      <c r="A28" s="246">
        <v>61</v>
      </c>
      <c r="B28" s="4" t="s">
        <v>14</v>
      </c>
      <c r="C28" s="5">
        <v>33953602.020000003</v>
      </c>
      <c r="D28" s="106">
        <v>4637103.24</v>
      </c>
      <c r="E28" s="106">
        <v>1140159.5900000001</v>
      </c>
      <c r="F28" s="106">
        <v>1922023.7</v>
      </c>
      <c r="G28" s="106">
        <v>945286.18</v>
      </c>
      <c r="H28" s="106">
        <v>202575.92</v>
      </c>
      <c r="I28" s="248">
        <f t="shared" si="0"/>
        <v>42800750.650000013</v>
      </c>
      <c r="J28" s="252">
        <f t="shared" si="1"/>
        <v>5.1639461689696681E-3</v>
      </c>
    </row>
    <row r="29" spans="1:10" ht="12.75" customHeight="1">
      <c r="A29" s="246">
        <v>36</v>
      </c>
      <c r="B29" s="4" t="s">
        <v>15</v>
      </c>
      <c r="C29" s="5">
        <v>33767565.25</v>
      </c>
      <c r="D29" s="106">
        <v>4611695.87</v>
      </c>
      <c r="E29" s="106">
        <v>1133912.49</v>
      </c>
      <c r="F29" s="106">
        <v>1911492.65</v>
      </c>
      <c r="G29" s="106">
        <v>940106.82</v>
      </c>
      <c r="H29" s="106">
        <v>201465.97</v>
      </c>
      <c r="I29" s="248">
        <f t="shared" si="0"/>
        <v>42566239.049999997</v>
      </c>
      <c r="J29" s="252">
        <f t="shared" si="1"/>
        <v>5.1356521493553407E-3</v>
      </c>
    </row>
    <row r="30" spans="1:10" ht="12.75" customHeight="1">
      <c r="A30" s="246">
        <v>28</v>
      </c>
      <c r="B30" s="4" t="s">
        <v>16</v>
      </c>
      <c r="C30" s="5">
        <v>528778679.38</v>
      </c>
      <c r="D30" s="106">
        <v>72216235.670000002</v>
      </c>
      <c r="E30" s="106">
        <v>17756351.190000001</v>
      </c>
      <c r="F30" s="106">
        <v>29932763.879999999</v>
      </c>
      <c r="G30" s="106">
        <v>14721477.23</v>
      </c>
      <c r="H30" s="106">
        <v>3154829.49</v>
      </c>
      <c r="I30" s="248">
        <f t="shared" si="0"/>
        <v>666560336.84000003</v>
      </c>
      <c r="J30" s="252">
        <f t="shared" si="1"/>
        <v>8.0421059106168938E-2</v>
      </c>
    </row>
    <row r="31" spans="1:10" ht="12.75" customHeight="1">
      <c r="A31" s="246">
        <v>37</v>
      </c>
      <c r="B31" s="4" t="s">
        <v>137</v>
      </c>
      <c r="C31" s="5">
        <v>13615833.84</v>
      </c>
      <c r="D31" s="106">
        <v>1859538.41</v>
      </c>
      <c r="E31" s="106">
        <v>457218.75</v>
      </c>
      <c r="F31" s="106">
        <v>770756.38</v>
      </c>
      <c r="G31" s="106">
        <v>379071.99</v>
      </c>
      <c r="H31" s="106">
        <v>81235.56</v>
      </c>
      <c r="I31" s="248">
        <f t="shared" si="0"/>
        <v>17163654.93</v>
      </c>
      <c r="J31" s="252">
        <f t="shared" si="1"/>
        <v>2.0708092445871819E-3</v>
      </c>
    </row>
    <row r="32" spans="1:10" ht="12.75" customHeight="1">
      <c r="A32" s="246">
        <v>39</v>
      </c>
      <c r="B32" s="4" t="s">
        <v>17</v>
      </c>
      <c r="C32" s="5">
        <v>23437552.559999999</v>
      </c>
      <c r="D32" s="106">
        <v>3200907.84</v>
      </c>
      <c r="E32" s="106">
        <v>787031.38</v>
      </c>
      <c r="F32" s="106">
        <v>1326737.9199999999</v>
      </c>
      <c r="G32" s="106">
        <v>652513.81999999995</v>
      </c>
      <c r="H32" s="106">
        <v>139834.46</v>
      </c>
      <c r="I32" s="248">
        <f t="shared" si="0"/>
        <v>29544577.979999997</v>
      </c>
      <c r="J32" s="252">
        <f t="shared" si="1"/>
        <v>3.5645779094214684E-3</v>
      </c>
    </row>
    <row r="33" spans="1:10" ht="12.75" customHeight="1">
      <c r="A33" s="246">
        <v>38</v>
      </c>
      <c r="B33" s="4" t="s">
        <v>18</v>
      </c>
      <c r="C33" s="5">
        <v>13451370.800000001</v>
      </c>
      <c r="D33" s="106">
        <v>1837077.4</v>
      </c>
      <c r="E33" s="106">
        <v>451696.09</v>
      </c>
      <c r="F33" s="106">
        <v>761446.56</v>
      </c>
      <c r="G33" s="106">
        <v>374493.26</v>
      </c>
      <c r="H33" s="106">
        <v>80254.34</v>
      </c>
      <c r="I33" s="248">
        <f t="shared" si="0"/>
        <v>16956338.450000003</v>
      </c>
      <c r="J33" s="252">
        <f t="shared" si="1"/>
        <v>2.0457963388226361E-3</v>
      </c>
    </row>
    <row r="34" spans="1:10" ht="12.75" customHeight="1">
      <c r="A34" s="246">
        <v>40</v>
      </c>
      <c r="B34" s="4" t="s">
        <v>19</v>
      </c>
      <c r="C34" s="5">
        <v>18763177.170000002</v>
      </c>
      <c r="D34" s="106">
        <v>2562520.16</v>
      </c>
      <c r="E34" s="106">
        <v>630066.18000000005</v>
      </c>
      <c r="F34" s="106">
        <v>1062133.8799999999</v>
      </c>
      <c r="G34" s="106">
        <v>522376.75</v>
      </c>
      <c r="H34" s="106">
        <v>111945.94</v>
      </c>
      <c r="I34" s="248">
        <f t="shared" si="0"/>
        <v>23652220.080000002</v>
      </c>
      <c r="J34" s="252">
        <f t="shared" si="1"/>
        <v>2.8536600273328019E-3</v>
      </c>
    </row>
    <row r="35" spans="1:10" ht="12.75" customHeight="1">
      <c r="A35" s="246">
        <v>41</v>
      </c>
      <c r="B35" s="4" t="s">
        <v>20</v>
      </c>
      <c r="C35" s="5">
        <v>17881547.870000001</v>
      </c>
      <c r="D35" s="106">
        <v>2442114.4900000002</v>
      </c>
      <c r="E35" s="106">
        <v>600461.13</v>
      </c>
      <c r="F35" s="106">
        <v>1012227.18</v>
      </c>
      <c r="G35" s="106">
        <v>497831.72</v>
      </c>
      <c r="H35" s="106">
        <v>106685.91</v>
      </c>
      <c r="I35" s="248">
        <f t="shared" si="0"/>
        <v>22540868.299999997</v>
      </c>
      <c r="J35" s="252">
        <f t="shared" si="1"/>
        <v>2.7195745106174856E-3</v>
      </c>
    </row>
    <row r="36" spans="1:10" ht="12.75" customHeight="1">
      <c r="A36" s="246">
        <v>42</v>
      </c>
      <c r="B36" s="4" t="s">
        <v>138</v>
      </c>
      <c r="C36" s="5">
        <v>165832851.94</v>
      </c>
      <c r="D36" s="106">
        <v>22648084.699999999</v>
      </c>
      <c r="E36" s="106">
        <v>5568655.6100000003</v>
      </c>
      <c r="F36" s="106">
        <v>9387359.5800000001</v>
      </c>
      <c r="G36" s="106">
        <v>4616874.03</v>
      </c>
      <c r="H36" s="106">
        <v>989401.41</v>
      </c>
      <c r="I36" s="248">
        <f t="shared" si="0"/>
        <v>209043227.27000001</v>
      </c>
      <c r="J36" s="252">
        <f t="shared" si="1"/>
        <v>2.5221239259035563E-2</v>
      </c>
    </row>
    <row r="37" spans="1:10" ht="12.75" customHeight="1">
      <c r="A37" s="246">
        <v>43</v>
      </c>
      <c r="B37" s="4" t="s">
        <v>21</v>
      </c>
      <c r="C37" s="5">
        <v>31970901.600000001</v>
      </c>
      <c r="D37" s="106">
        <v>4366322.3499999996</v>
      </c>
      <c r="E37" s="106">
        <v>1073580.6499999999</v>
      </c>
      <c r="F37" s="106">
        <v>1809788.26</v>
      </c>
      <c r="G37" s="106">
        <v>890086.76</v>
      </c>
      <c r="H37" s="106">
        <v>190746.62</v>
      </c>
      <c r="I37" s="248">
        <f t="shared" si="0"/>
        <v>40301426.239999995</v>
      </c>
      <c r="J37" s="252">
        <f t="shared" si="1"/>
        <v>4.862400599884375E-3</v>
      </c>
    </row>
    <row r="38" spans="1:10" ht="12.75" customHeight="1">
      <c r="A38" s="246">
        <v>44</v>
      </c>
      <c r="B38" s="4" t="s">
        <v>22</v>
      </c>
      <c r="C38" s="5">
        <v>117218348.14</v>
      </c>
      <c r="D38" s="106">
        <v>16008716.279999999</v>
      </c>
      <c r="E38" s="106">
        <v>3936183.96</v>
      </c>
      <c r="F38" s="106">
        <v>6635420.9699999997</v>
      </c>
      <c r="G38" s="106">
        <v>3263420.62</v>
      </c>
      <c r="H38" s="106">
        <v>699354.79</v>
      </c>
      <c r="I38" s="248">
        <f t="shared" si="0"/>
        <v>147761444.75999999</v>
      </c>
      <c r="J38" s="252">
        <f t="shared" si="1"/>
        <v>1.7827541223037521E-2</v>
      </c>
    </row>
    <row r="39" spans="1:10" ht="12.75" customHeight="1">
      <c r="A39" s="246">
        <v>46</v>
      </c>
      <c r="B39" s="4" t="s">
        <v>139</v>
      </c>
      <c r="C39" s="5">
        <v>25010439.550000001</v>
      </c>
      <c r="D39" s="106">
        <v>3415719.78</v>
      </c>
      <c r="E39" s="106">
        <v>839848.82</v>
      </c>
      <c r="F39" s="106">
        <v>1415774.9</v>
      </c>
      <c r="G39" s="106">
        <v>696303.82</v>
      </c>
      <c r="H39" s="106">
        <v>149218.71</v>
      </c>
      <c r="I39" s="248">
        <f t="shared" si="0"/>
        <v>31527305.580000002</v>
      </c>
      <c r="J39" s="252">
        <f t="shared" si="1"/>
        <v>3.8037956436583432E-3</v>
      </c>
    </row>
    <row r="40" spans="1:10" ht="12.75" customHeight="1">
      <c r="A40" s="246">
        <v>49</v>
      </c>
      <c r="B40" s="4" t="s">
        <v>23</v>
      </c>
      <c r="C40" s="5">
        <v>24040117.52</v>
      </c>
      <c r="D40" s="106">
        <v>3283201.2</v>
      </c>
      <c r="E40" s="106">
        <v>807265.47</v>
      </c>
      <c r="F40" s="106">
        <v>1360847.53</v>
      </c>
      <c r="G40" s="106">
        <v>669289.55000000005</v>
      </c>
      <c r="H40" s="106">
        <v>143429.51999999999</v>
      </c>
      <c r="I40" s="248">
        <f t="shared" si="0"/>
        <v>30304150.789999999</v>
      </c>
      <c r="J40" s="252">
        <f t="shared" si="1"/>
        <v>3.6562210007851717E-3</v>
      </c>
    </row>
    <row r="41" spans="1:10" ht="12.75" customHeight="1">
      <c r="A41" s="246">
        <v>48</v>
      </c>
      <c r="B41" s="4" t="s">
        <v>24</v>
      </c>
      <c r="C41" s="5">
        <v>25869692.379999999</v>
      </c>
      <c r="D41" s="106">
        <v>3533069.46</v>
      </c>
      <c r="E41" s="106">
        <v>868702.47</v>
      </c>
      <c r="F41" s="106">
        <v>1464414.93</v>
      </c>
      <c r="G41" s="106">
        <v>720225.88</v>
      </c>
      <c r="H41" s="106">
        <v>154345.23000000001</v>
      </c>
      <c r="I41" s="248">
        <f t="shared" si="0"/>
        <v>32610450.349999998</v>
      </c>
      <c r="J41" s="252">
        <f t="shared" si="1"/>
        <v>3.9344779611536563E-3</v>
      </c>
    </row>
    <row r="42" spans="1:10" ht="12.75" customHeight="1">
      <c r="A42" s="246">
        <v>47</v>
      </c>
      <c r="B42" s="4" t="s">
        <v>25</v>
      </c>
      <c r="C42" s="5">
        <v>35554214.07</v>
      </c>
      <c r="D42" s="106">
        <v>4855701.6399999997</v>
      </c>
      <c r="E42" s="106">
        <v>1193908.03</v>
      </c>
      <c r="F42" s="106">
        <v>2012630.12</v>
      </c>
      <c r="G42" s="106">
        <v>989848.07</v>
      </c>
      <c r="H42" s="106">
        <v>212125.58</v>
      </c>
      <c r="I42" s="248">
        <f t="shared" si="0"/>
        <v>44818427.509999998</v>
      </c>
      <c r="J42" s="252">
        <f t="shared" si="1"/>
        <v>5.4073805604974642E-3</v>
      </c>
    </row>
    <row r="43" spans="1:10" ht="12.75" customHeight="1">
      <c r="A43" s="246">
        <v>45</v>
      </c>
      <c r="B43" s="4" t="s">
        <v>26</v>
      </c>
      <c r="C43" s="5">
        <v>83413469.420000002</v>
      </c>
      <c r="D43" s="106">
        <v>11391924.449999999</v>
      </c>
      <c r="E43" s="106">
        <v>2801018.49</v>
      </c>
      <c r="F43" s="106">
        <v>4721816.1100000003</v>
      </c>
      <c r="G43" s="106">
        <v>2322274.9700000002</v>
      </c>
      <c r="H43" s="106">
        <v>497666.2</v>
      </c>
      <c r="I43" s="248">
        <f t="shared" si="0"/>
        <v>105148169.64</v>
      </c>
      <c r="J43" s="252">
        <f t="shared" si="1"/>
        <v>1.2686214132710557E-2</v>
      </c>
    </row>
    <row r="44" spans="1:10" ht="12.75" customHeight="1">
      <c r="A44" s="246">
        <v>70</v>
      </c>
      <c r="B44" s="4" t="s">
        <v>27</v>
      </c>
      <c r="C44" s="5">
        <v>1726259320.8499999</v>
      </c>
      <c r="D44" s="106">
        <v>235758276.21000001</v>
      </c>
      <c r="E44" s="106">
        <v>57967667.659999996</v>
      </c>
      <c r="F44" s="106">
        <v>97718978.969999999</v>
      </c>
      <c r="G44" s="106">
        <v>48059969.659999996</v>
      </c>
      <c r="H44" s="106">
        <v>10299306.74</v>
      </c>
      <c r="I44" s="248">
        <f t="shared" si="0"/>
        <v>2176063520.0899997</v>
      </c>
      <c r="J44" s="252">
        <f t="shared" si="1"/>
        <v>0.26254387381879718</v>
      </c>
    </row>
    <row r="45" spans="1:10" ht="12.75" customHeight="1">
      <c r="A45" s="246">
        <v>50</v>
      </c>
      <c r="B45" s="4" t="s">
        <v>140</v>
      </c>
      <c r="C45" s="5">
        <v>9169501.2799999993</v>
      </c>
      <c r="D45" s="106">
        <v>1252294.94</v>
      </c>
      <c r="E45" s="106">
        <v>307911.21000000002</v>
      </c>
      <c r="F45" s="106">
        <v>519061.24</v>
      </c>
      <c r="G45" s="106">
        <v>255283.75</v>
      </c>
      <c r="H45" s="106">
        <v>54707.6</v>
      </c>
      <c r="I45" s="248">
        <f t="shared" si="0"/>
        <v>11558760.02</v>
      </c>
      <c r="J45" s="252">
        <f t="shared" si="1"/>
        <v>1.3945740113630166E-3</v>
      </c>
    </row>
    <row r="46" spans="1:10" ht="12.75" customHeight="1">
      <c r="A46" s="246">
        <v>51</v>
      </c>
      <c r="B46" s="4" t="s">
        <v>141</v>
      </c>
      <c r="C46" s="5">
        <v>38260390.350000001</v>
      </c>
      <c r="D46" s="106">
        <v>5225288.9000000004</v>
      </c>
      <c r="E46" s="106">
        <v>1284781.24</v>
      </c>
      <c r="F46" s="106">
        <v>2165819.6</v>
      </c>
      <c r="G46" s="106">
        <v>1065189.44</v>
      </c>
      <c r="H46" s="106">
        <v>228271.32</v>
      </c>
      <c r="I46" s="248">
        <f t="shared" si="0"/>
        <v>48229740.850000001</v>
      </c>
      <c r="J46" s="252">
        <f t="shared" si="1"/>
        <v>5.8189583526091111E-3</v>
      </c>
    </row>
    <row r="47" spans="1:10" ht="12.75" customHeight="1">
      <c r="A47" s="246">
        <v>52</v>
      </c>
      <c r="B47" s="4" t="s">
        <v>142</v>
      </c>
      <c r="C47" s="5">
        <v>18909383.170000002</v>
      </c>
      <c r="D47" s="106">
        <v>2582487.77</v>
      </c>
      <c r="E47" s="106">
        <v>634975.77</v>
      </c>
      <c r="F47" s="106">
        <v>1070410.22</v>
      </c>
      <c r="G47" s="106">
        <v>526447.19999999995</v>
      </c>
      <c r="H47" s="106">
        <v>112818.24000000001</v>
      </c>
      <c r="I47" s="248">
        <f t="shared" si="0"/>
        <v>23836522.369999997</v>
      </c>
      <c r="J47" s="252">
        <f t="shared" si="1"/>
        <v>2.8758962519299003E-3</v>
      </c>
    </row>
    <row r="48" spans="1:10" ht="12.75" customHeight="1">
      <c r="A48" s="246">
        <v>53</v>
      </c>
      <c r="B48" s="4" t="s">
        <v>28</v>
      </c>
      <c r="C48" s="5">
        <v>21189369.57</v>
      </c>
      <c r="D48" s="106">
        <v>2893869.53</v>
      </c>
      <c r="E48" s="106">
        <v>711537.55</v>
      </c>
      <c r="F48" s="106">
        <v>1199474.22</v>
      </c>
      <c r="G48" s="106">
        <v>589923.22</v>
      </c>
      <c r="H48" s="106">
        <v>126421.22</v>
      </c>
      <c r="I48" s="248">
        <f t="shared" si="0"/>
        <v>26710595.309999999</v>
      </c>
      <c r="J48" s="252">
        <f t="shared" si="1"/>
        <v>3.2226555428876255E-3</v>
      </c>
    </row>
    <row r="49" spans="1:10" ht="12.75" customHeight="1">
      <c r="A49" s="246">
        <v>54</v>
      </c>
      <c r="B49" s="4" t="s">
        <v>29</v>
      </c>
      <c r="C49" s="5">
        <v>60965138.740000002</v>
      </c>
      <c r="D49" s="106">
        <v>8326116.3899999997</v>
      </c>
      <c r="E49" s="106">
        <v>2047205.11</v>
      </c>
      <c r="F49" s="106">
        <v>3451075.42</v>
      </c>
      <c r="G49" s="106">
        <v>1697301.61</v>
      </c>
      <c r="H49" s="106">
        <v>363733.69</v>
      </c>
      <c r="I49" s="248">
        <f t="shared" si="0"/>
        <v>76850570.959999993</v>
      </c>
      <c r="J49" s="252">
        <f t="shared" si="1"/>
        <v>9.2720853131117564E-3</v>
      </c>
    </row>
    <row r="50" spans="1:10" ht="12.75" customHeight="1">
      <c r="A50" s="246">
        <v>55</v>
      </c>
      <c r="B50" s="4" t="s">
        <v>30</v>
      </c>
      <c r="C50" s="5">
        <v>52786864.539999999</v>
      </c>
      <c r="D50" s="106">
        <v>7209195.0700000003</v>
      </c>
      <c r="E50" s="106">
        <v>1772579.23</v>
      </c>
      <c r="F50" s="106">
        <v>2988124.93</v>
      </c>
      <c r="G50" s="106">
        <v>1469614.14</v>
      </c>
      <c r="H50" s="106">
        <v>314940</v>
      </c>
      <c r="I50" s="248">
        <f t="shared" si="0"/>
        <v>66541317.909999996</v>
      </c>
      <c r="J50" s="252">
        <f t="shared" si="1"/>
        <v>8.0282653570595067E-3</v>
      </c>
    </row>
    <row r="51" spans="1:10" ht="12.75" customHeight="1">
      <c r="A51" s="246">
        <v>58</v>
      </c>
      <c r="B51" s="4" t="s">
        <v>143</v>
      </c>
      <c r="C51" s="5">
        <v>474720406.57999998</v>
      </c>
      <c r="D51" s="106">
        <v>64833402.130000003</v>
      </c>
      <c r="E51" s="106">
        <v>15941078.16</v>
      </c>
      <c r="F51" s="106">
        <v>26872667.890000001</v>
      </c>
      <c r="G51" s="106">
        <v>13216466.42</v>
      </c>
      <c r="H51" s="106">
        <v>2832303.94</v>
      </c>
      <c r="I51" s="248">
        <f t="shared" si="0"/>
        <v>598416325.12</v>
      </c>
      <c r="J51" s="252">
        <f t="shared" si="1"/>
        <v>7.2199427407760433E-2</v>
      </c>
    </row>
    <row r="52" spans="1:10" ht="12.75" customHeight="1">
      <c r="A52" s="246">
        <v>31</v>
      </c>
      <c r="B52" s="4" t="s">
        <v>144</v>
      </c>
      <c r="C52" s="5">
        <v>917280808.95000005</v>
      </c>
      <c r="D52" s="106">
        <v>125274655.84</v>
      </c>
      <c r="E52" s="106">
        <v>30802225.620000001</v>
      </c>
      <c r="F52" s="106">
        <v>51924842.920000002</v>
      </c>
      <c r="G52" s="106">
        <v>25537581.359999999</v>
      </c>
      <c r="H52" s="106">
        <v>5472733.04</v>
      </c>
      <c r="I52" s="248">
        <f t="shared" si="0"/>
        <v>1156292847.73</v>
      </c>
      <c r="J52" s="252">
        <f t="shared" si="1"/>
        <v>0.13950769392037193</v>
      </c>
    </row>
    <row r="53" spans="1:10" ht="12.75" customHeight="1">
      <c r="A53" s="246">
        <v>57</v>
      </c>
      <c r="B53" s="4" t="s">
        <v>31</v>
      </c>
      <c r="C53" s="5">
        <v>247174909.66</v>
      </c>
      <c r="D53" s="106">
        <v>33757112.799999997</v>
      </c>
      <c r="E53" s="106">
        <v>8300116.2400000002</v>
      </c>
      <c r="F53" s="106">
        <v>13991918.539999999</v>
      </c>
      <c r="G53" s="106">
        <v>6881479.8099999996</v>
      </c>
      <c r="H53" s="106">
        <v>1474709.03</v>
      </c>
      <c r="I53" s="248">
        <f t="shared" si="0"/>
        <v>311580246.07999998</v>
      </c>
      <c r="J53" s="252">
        <f t="shared" si="1"/>
        <v>3.7592415872066999E-2</v>
      </c>
    </row>
    <row r="54" spans="1:10" ht="12.75" customHeight="1">
      <c r="A54" s="246">
        <v>56</v>
      </c>
      <c r="B54" s="4" t="s">
        <v>32</v>
      </c>
      <c r="C54" s="5">
        <v>79956792.879999995</v>
      </c>
      <c r="D54" s="106">
        <v>10919840.050000001</v>
      </c>
      <c r="E54" s="106">
        <v>2684943.53</v>
      </c>
      <c r="F54" s="106">
        <v>4526142.78</v>
      </c>
      <c r="G54" s="106">
        <v>2226039.27</v>
      </c>
      <c r="H54" s="106">
        <v>477042.77</v>
      </c>
      <c r="I54" s="248">
        <f t="shared" si="0"/>
        <v>100790801.27999999</v>
      </c>
      <c r="J54" s="252">
        <f t="shared" si="1"/>
        <v>1.216049401547678E-2</v>
      </c>
    </row>
    <row r="55" spans="1:10" ht="12.75" customHeight="1">
      <c r="A55" s="246">
        <v>59</v>
      </c>
      <c r="B55" s="4" t="s">
        <v>33</v>
      </c>
      <c r="C55" s="5">
        <v>16102991.52</v>
      </c>
      <c r="D55" s="106">
        <v>2199213.92</v>
      </c>
      <c r="E55" s="106">
        <v>540737.32999999996</v>
      </c>
      <c r="F55" s="106">
        <v>911547.8</v>
      </c>
      <c r="G55" s="106">
        <v>448315.77</v>
      </c>
      <c r="H55" s="106">
        <v>96074.59</v>
      </c>
      <c r="I55" s="248">
        <f t="shared" si="0"/>
        <v>20298880.929999996</v>
      </c>
      <c r="J55" s="252">
        <f t="shared" si="1"/>
        <v>2.4490768694694588E-3</v>
      </c>
    </row>
    <row r="56" spans="1:10" ht="12.75" customHeight="1">
      <c r="A56" s="246">
        <v>60</v>
      </c>
      <c r="B56" s="4" t="s">
        <v>34</v>
      </c>
      <c r="C56" s="5">
        <v>21809438.43</v>
      </c>
      <c r="D56" s="106">
        <v>2978553.42</v>
      </c>
      <c r="E56" s="106">
        <v>732359.42</v>
      </c>
      <c r="F56" s="106">
        <v>1234574.68</v>
      </c>
      <c r="G56" s="106">
        <v>607186.26</v>
      </c>
      <c r="H56" s="106">
        <v>130120.71</v>
      </c>
      <c r="I56" s="248">
        <f t="shared" si="0"/>
        <v>27492232.920000006</v>
      </c>
      <c r="J56" s="252">
        <f t="shared" si="1"/>
        <v>3.3169607707255427E-3</v>
      </c>
    </row>
    <row r="57" spans="1:10" s="100" customFormat="1" ht="16.5" customHeight="1" thickBot="1">
      <c r="B57" s="6" t="s">
        <v>35</v>
      </c>
      <c r="C57" s="7">
        <f>SUM(C6:C56)</f>
        <v>6575127028.2700005</v>
      </c>
      <c r="D57" s="7">
        <f t="shared" ref="D57:I57" si="2">SUM(D6:D56)</f>
        <v>897976680.14999986</v>
      </c>
      <c r="E57" s="7">
        <f t="shared" si="2"/>
        <v>220792307.28000006</v>
      </c>
      <c r="F57" s="7">
        <f t="shared" si="2"/>
        <v>372200568.00000006</v>
      </c>
      <c r="G57" s="7">
        <f t="shared" si="2"/>
        <v>183055003.20999998</v>
      </c>
      <c r="H57" s="7">
        <f t="shared" si="2"/>
        <v>39228897.610000014</v>
      </c>
      <c r="I57" s="249">
        <f t="shared" si="2"/>
        <v>8288380484.5199995</v>
      </c>
      <c r="J57" s="253">
        <f t="shared" ref="J57" si="3">SUM(J6:J56)</f>
        <v>0.99999999999999989</v>
      </c>
    </row>
    <row r="58" spans="1:10" ht="13.5" thickTop="1"/>
    <row r="59" spans="1:10">
      <c r="B59" s="165"/>
      <c r="C59" s="62"/>
      <c r="D59" s="62"/>
      <c r="E59" s="62"/>
      <c r="F59" s="62"/>
      <c r="G59" s="62"/>
      <c r="H59" s="62"/>
      <c r="I59" s="62"/>
    </row>
    <row r="60" spans="1:10">
      <c r="B60" s="165"/>
      <c r="C60" s="62"/>
      <c r="D60" s="62"/>
      <c r="E60" s="62"/>
      <c r="F60" s="62"/>
      <c r="G60" s="62"/>
      <c r="H60" s="62"/>
      <c r="I60" s="62"/>
    </row>
  </sheetData>
  <mergeCells count="3">
    <mergeCell ref="B1:I1"/>
    <mergeCell ref="B3:B4"/>
    <mergeCell ref="C3:I3"/>
  </mergeCells>
  <printOptions horizontalCentered="1" verticalCentered="1"/>
  <pageMargins left="0.19685039370078741" right="0.19685039370078741" top="0.39370078740157483" bottom="0.19685039370078741" header="0.11811023622047245" footer="0.15748031496062992"/>
  <pageSetup scale="80" orientation="portrait" horizontalDpi="300" verticalDpi="300" r:id="rId1"/>
  <headerFooter alignWithMargins="0">
    <oddHeader>&amp;LANEXO 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zoomScaleSheetLayoutView="100" workbookViewId="0">
      <selection activeCell="C6" sqref="C6"/>
    </sheetView>
  </sheetViews>
  <sheetFormatPr baseColWidth="10" defaultColWidth="9.7109375" defaultRowHeight="12.75"/>
  <cols>
    <col min="1" max="1" width="3" style="11" bestFit="1" customWidth="1"/>
    <col min="2" max="2" width="26.28515625" style="11" customWidth="1"/>
    <col min="3" max="3" width="13.28515625" style="11" bestFit="1" customWidth="1"/>
    <col min="4" max="8" width="11.7109375" style="11" customWidth="1"/>
    <col min="9" max="9" width="5.42578125" style="11" customWidth="1"/>
    <col min="10" max="16384" width="9.7109375" style="11"/>
  </cols>
  <sheetData>
    <row r="1" spans="1:8" ht="47.25" customHeight="1">
      <c r="B1" s="265" t="s">
        <v>211</v>
      </c>
      <c r="C1" s="271"/>
      <c r="D1" s="271"/>
      <c r="E1" s="271"/>
      <c r="F1" s="271"/>
      <c r="G1" s="271"/>
      <c r="H1" s="271"/>
    </row>
    <row r="2" spans="1:8" ht="8.25" customHeight="1" thickBot="1"/>
    <row r="3" spans="1:8" ht="13.5" thickBot="1">
      <c r="B3" s="272" t="s">
        <v>0</v>
      </c>
      <c r="C3" s="268" t="s">
        <v>210</v>
      </c>
      <c r="D3" s="269"/>
      <c r="E3" s="269"/>
      <c r="F3" s="269"/>
      <c r="G3" s="269"/>
      <c r="H3" s="270"/>
    </row>
    <row r="4" spans="1:8" ht="13.5" thickBot="1">
      <c r="B4" s="267"/>
      <c r="C4" s="205" t="s">
        <v>78</v>
      </c>
      <c r="D4" s="8" t="s">
        <v>147</v>
      </c>
      <c r="E4" s="8" t="s">
        <v>79</v>
      </c>
      <c r="F4" s="8" t="s">
        <v>89</v>
      </c>
      <c r="G4" s="8" t="s">
        <v>100</v>
      </c>
      <c r="H4" s="8" t="s">
        <v>101</v>
      </c>
    </row>
    <row r="5" spans="1:8" ht="15.75" thickBot="1">
      <c r="B5" s="1"/>
      <c r="C5" s="99"/>
      <c r="D5" s="99"/>
      <c r="E5" s="99"/>
      <c r="F5" s="99"/>
      <c r="G5" s="99"/>
      <c r="H5" s="99"/>
    </row>
    <row r="6" spans="1:8" ht="12.75" customHeight="1" thickTop="1">
      <c r="A6" s="246">
        <v>15</v>
      </c>
      <c r="B6" s="2" t="s">
        <v>1</v>
      </c>
      <c r="C6" s="3">
        <f>IF('PART 2024'!F$4&lt;1,0,'COEF Art 14 F I'!$AF7*'PART 2024'!$F$4)</f>
        <v>1781628.7222634123</v>
      </c>
      <c r="D6" s="3">
        <f>IF('PART 2024'!F$5&lt;1,0,'COEF Art 14 F I'!$AF7*'PART 2024'!$F$5)</f>
        <v>326629.67154594994</v>
      </c>
      <c r="E6" s="3">
        <f>IF('PART 2024'!F$6&lt;1,0,'COEF Art 14 F I'!$AF7*'PART 2024'!$F$6)</f>
        <v>47090.567632689439</v>
      </c>
      <c r="F6" s="3">
        <f>IF('PART 2024'!F$7&lt;1,0,'COEF Art 14 F I'!$AF7*'PART 2024'!$F$7)</f>
        <v>100086.41121851085</v>
      </c>
      <c r="G6" s="3">
        <f>IF('PART 2024'!F$8&lt;1,0,'COEF Art 14 F I'!$AF7*'PART 2024'!$F$8)</f>
        <v>86256.75834507079</v>
      </c>
      <c r="H6" s="254">
        <f>IF('PART 2024'!F$9&lt;1,0,'COEF Art 14 F I'!$AF7*'PART 2024'!$F$9)</f>
        <v>5599.0457469239618</v>
      </c>
    </row>
    <row r="7" spans="1:8" ht="12.75" customHeight="1">
      <c r="A7" s="246">
        <v>11</v>
      </c>
      <c r="B7" s="4" t="s">
        <v>2</v>
      </c>
      <c r="C7" s="5">
        <f>IF('PART 2024'!F$4&lt;1,0,'COEF Art 14 F I'!$AF8*'PART 2024'!$F$4)</f>
        <v>3125650.3790044049</v>
      </c>
      <c r="D7" s="5">
        <f>IF('PART 2024'!F$5&lt;1,0,'COEF Art 14 F I'!$AF8*'PART 2024'!$F$5)</f>
        <v>573031.93639844062</v>
      </c>
      <c r="E7" s="5">
        <f>IF('PART 2024'!F$6&lt;1,0,'COEF Art 14 F I'!$AF8*'PART 2024'!$F$6)</f>
        <v>82614.65968153975</v>
      </c>
      <c r="F7" s="5">
        <f>IF('PART 2024'!F$7&lt;1,0,'COEF Art 14 F I'!$AF8*'PART 2024'!$F$7)</f>
        <v>175589.40605812526</v>
      </c>
      <c r="G7" s="5">
        <f>IF('PART 2024'!F$8&lt;1,0,'COEF Art 14 F I'!$AF8*'PART 2024'!$F$8)</f>
        <v>151326.96618768392</v>
      </c>
      <c r="H7" s="255">
        <f>IF('PART 2024'!F$9&lt;1,0,'COEF Art 14 F I'!$AF8*'PART 2024'!$F$9)</f>
        <v>9822.8431335024379</v>
      </c>
    </row>
    <row r="8" spans="1:8" ht="12.75" customHeight="1">
      <c r="A8" s="246">
        <v>12</v>
      </c>
      <c r="B8" s="4" t="s">
        <v>145</v>
      </c>
      <c r="C8" s="5">
        <f>IF('PART 2024'!F$4&lt;1,0,'COEF Art 14 F I'!$AF9*'PART 2024'!$F$4)</f>
        <v>4001946.4849936236</v>
      </c>
      <c r="D8" s="5">
        <f>IF('PART 2024'!F$5&lt;1,0,'COEF Art 14 F I'!$AF9*'PART 2024'!$F$5)</f>
        <v>733685.11048547993</v>
      </c>
      <c r="E8" s="5">
        <f>IF('PART 2024'!F$6&lt;1,0,'COEF Art 14 F I'!$AF9*'PART 2024'!$F$6)</f>
        <v>105776.20873476985</v>
      </c>
      <c r="F8" s="5">
        <f>IF('PART 2024'!F$7&lt;1,0,'COEF Art 14 F I'!$AF9*'PART 2024'!$F$7)</f>
        <v>224817.02083399973</v>
      </c>
      <c r="G8" s="5">
        <f>IF('PART 2024'!F$8&lt;1,0,'COEF Art 14 F I'!$AF9*'PART 2024'!$F$8)</f>
        <v>193752.45052597646</v>
      </c>
      <c r="H8" s="255">
        <f>IF('PART 2024'!F$9&lt;1,0,'COEF Art 14 F I'!$AF9*'PART 2024'!$F$9)</f>
        <v>12576.74012897283</v>
      </c>
    </row>
    <row r="9" spans="1:8" ht="12.75" customHeight="1">
      <c r="A9" s="246">
        <v>13</v>
      </c>
      <c r="B9" s="4" t="s">
        <v>3</v>
      </c>
      <c r="C9" s="5">
        <f>IF('PART 2024'!F$4&lt;1,0,'COEF Art 14 F I'!$AF10*'PART 2024'!$F$4)</f>
        <v>13357424.020875599</v>
      </c>
      <c r="D9" s="5">
        <f>IF('PART 2024'!F$5&lt;1,0,'COEF Art 14 F I'!$AF10*'PART 2024'!$F$5)</f>
        <v>2448844.1200565263</v>
      </c>
      <c r="E9" s="5">
        <f>IF('PART 2024'!F$6&lt;1,0,'COEF Art 14 F I'!$AF10*'PART 2024'!$F$6)</f>
        <v>353052.6149435048</v>
      </c>
      <c r="F9" s="5">
        <f>IF('PART 2024'!F$7&lt;1,0,'COEF Art 14 F I'!$AF10*'PART 2024'!$F$7)</f>
        <v>750378.91827145277</v>
      </c>
      <c r="G9" s="5">
        <f>IF('PART 2024'!F$8&lt;1,0,'COEF Art 14 F I'!$AF10*'PART 2024'!$F$8)</f>
        <v>646693.71428721468</v>
      </c>
      <c r="H9" s="255">
        <f>IF('PART 2024'!F$9&lt;1,0,'COEF Art 14 F I'!$AF10*'PART 2024'!$F$9)</f>
        <v>41977.785393429476</v>
      </c>
    </row>
    <row r="10" spans="1:8" ht="12.75" customHeight="1">
      <c r="A10" s="246">
        <v>14</v>
      </c>
      <c r="B10" s="4" t="s">
        <v>146</v>
      </c>
      <c r="C10" s="5">
        <f>IF('PART 2024'!F$4&lt;1,0,'COEF Art 14 F I'!$AF11*'PART 2024'!$F$4)</f>
        <v>12876364.413473886</v>
      </c>
      <c r="D10" s="5">
        <f>IF('PART 2024'!F$5&lt;1,0,'COEF Art 14 F I'!$AF11*'PART 2024'!$F$5)</f>
        <v>2360650.4691593703</v>
      </c>
      <c r="E10" s="5">
        <f>IF('PART 2024'!F$6&lt;1,0,'COEF Art 14 F I'!$AF11*'PART 2024'!$F$6)</f>
        <v>340337.63696036686</v>
      </c>
      <c r="F10" s="5">
        <f>IF('PART 2024'!F$7&lt;1,0,'COEF Art 14 F I'!$AF11*'PART 2024'!$F$7)</f>
        <v>723354.47199632996</v>
      </c>
      <c r="G10" s="5">
        <f>IF('PART 2024'!F$8&lt;1,0,'COEF Art 14 F I'!$AF11*'PART 2024'!$F$8)</f>
        <v>623403.42838942737</v>
      </c>
      <c r="H10" s="255">
        <f>IF('PART 2024'!F$9&lt;1,0,'COEF Art 14 F I'!$AF11*'PART 2024'!$F$9)</f>
        <v>40465.980652530576</v>
      </c>
    </row>
    <row r="11" spans="1:8" ht="12.75" customHeight="1">
      <c r="A11" s="246">
        <v>17</v>
      </c>
      <c r="B11" s="4" t="s">
        <v>4</v>
      </c>
      <c r="C11" s="5">
        <f>IF('PART 2024'!F$4&lt;1,0,'COEF Art 14 F I'!$AF12*'PART 2024'!$F$4)</f>
        <v>200215845.35455298</v>
      </c>
      <c r="D11" s="5">
        <f>IF('PART 2024'!F$5&lt;1,0,'COEF Art 14 F I'!$AF12*'PART 2024'!$F$5)</f>
        <v>36705984.243098401</v>
      </c>
      <c r="E11" s="5">
        <f>IF('PART 2024'!F$6&lt;1,0,'COEF Art 14 F I'!$AF12*'PART 2024'!$F$6)</f>
        <v>5291943.0906046564</v>
      </c>
      <c r="F11" s="5">
        <f>IF('PART 2024'!F$7&lt;1,0,'COEF Art 14 F I'!$AF12*'PART 2024'!$F$7)</f>
        <v>11247509.192128321</v>
      </c>
      <c r="G11" s="5">
        <f>IF('PART 2024'!F$8&lt;1,0,'COEF Art 14 F I'!$AF12*'PART 2024'!$F$8)</f>
        <v>9693360.6726218853</v>
      </c>
      <c r="H11" s="255">
        <f>IF('PART 2024'!F$9&lt;1,0,'COEF Art 14 F I'!$AF12*'PART 2024'!$F$9)</f>
        <v>629209.47748026601</v>
      </c>
    </row>
    <row r="12" spans="1:8" ht="12.75" customHeight="1">
      <c r="A12" s="246">
        <v>16</v>
      </c>
      <c r="B12" s="4" t="s">
        <v>5</v>
      </c>
      <c r="C12" s="5">
        <f>IF('PART 2024'!F$4&lt;1,0,'COEF Art 14 F I'!$AF13*'PART 2024'!$F$4)</f>
        <v>11667532.294349454</v>
      </c>
      <c r="D12" s="5">
        <f>IF('PART 2024'!F$5&lt;1,0,'COEF Art 14 F I'!$AF13*'PART 2024'!$F$5)</f>
        <v>2139032.7813157463</v>
      </c>
      <c r="E12" s="5">
        <f>IF('PART 2024'!F$6&lt;1,0,'COEF Art 14 F I'!$AF13*'PART 2024'!$F$6)</f>
        <v>308386.76529397478</v>
      </c>
      <c r="F12" s="5">
        <f>IF('PART 2024'!F$7&lt;1,0,'COEF Art 14 F I'!$AF13*'PART 2024'!$F$7)</f>
        <v>655446.0087699811</v>
      </c>
      <c r="G12" s="5">
        <f>IF('PART 2024'!F$8&lt;1,0,'COEF Art 14 F I'!$AF13*'PART 2024'!$F$8)</f>
        <v>564878.36159177858</v>
      </c>
      <c r="H12" s="255">
        <f>IF('PART 2024'!F$9&lt;1,0,'COEF Art 14 F I'!$AF13*'PART 2024'!$F$9)</f>
        <v>36667.037443571666</v>
      </c>
    </row>
    <row r="13" spans="1:8" ht="12.75" customHeight="1">
      <c r="A13" s="246">
        <v>18</v>
      </c>
      <c r="B13" s="4" t="s">
        <v>6</v>
      </c>
      <c r="C13" s="5">
        <f>IF('PART 2024'!F$4&lt;1,0,'COEF Art 14 F I'!$AF14*'PART 2024'!$F$4)</f>
        <v>4223053.9620096451</v>
      </c>
      <c r="D13" s="5">
        <f>IF('PART 2024'!F$5&lt;1,0,'COEF Art 14 F I'!$AF14*'PART 2024'!$F$5)</f>
        <v>774221.20068857609</v>
      </c>
      <c r="E13" s="5">
        <f>IF('PART 2024'!F$6&lt;1,0,'COEF Art 14 F I'!$AF14*'PART 2024'!$F$6)</f>
        <v>111620.34251550987</v>
      </c>
      <c r="F13" s="5">
        <f>IF('PART 2024'!F$7&lt;1,0,'COEF Art 14 F I'!$AF14*'PART 2024'!$F$7)</f>
        <v>237238.15751167899</v>
      </c>
      <c r="G13" s="5">
        <f>IF('PART 2024'!F$8&lt;1,0,'COEF Art 14 F I'!$AF14*'PART 2024'!$F$8)</f>
        <v>204457.27020862605</v>
      </c>
      <c r="H13" s="255">
        <f>IF('PART 2024'!F$9&lt;1,0,'COEF Art 14 F I'!$AF14*'PART 2024'!$F$9)</f>
        <v>13271.604812803744</v>
      </c>
    </row>
    <row r="14" spans="1:8" ht="12.75" customHeight="1">
      <c r="A14" s="246">
        <v>19</v>
      </c>
      <c r="B14" s="4" t="s">
        <v>130</v>
      </c>
      <c r="C14" s="5">
        <f>IF('PART 2024'!F$4&lt;1,0,'COEF Art 14 F I'!$AF15*'PART 2024'!$F$4)</f>
        <v>31302061.306795534</v>
      </c>
      <c r="D14" s="5">
        <f>IF('PART 2024'!F$5&lt;1,0,'COEF Art 14 F I'!$AF15*'PART 2024'!$F$5)</f>
        <v>5738671.5175768128</v>
      </c>
      <c r="E14" s="5">
        <f>IF('PART 2024'!F$6&lt;1,0,'COEF Art 14 F I'!$AF15*'PART 2024'!$F$6)</f>
        <v>827350.73620591976</v>
      </c>
      <c r="F14" s="5">
        <f>IF('PART 2024'!F$7&lt;1,0,'COEF Art 14 F I'!$AF15*'PART 2024'!$F$7)</f>
        <v>1758453.3414789531</v>
      </c>
      <c r="G14" s="5">
        <f>IF('PART 2024'!F$8&lt;1,0,'COEF Art 14 F I'!$AF15*'PART 2024'!$F$8)</f>
        <v>1515475.3086898529</v>
      </c>
      <c r="H14" s="255">
        <f>IF('PART 2024'!F$9&lt;1,0,'COEF Art 14 F I'!$AF15*'PART 2024'!$F$9)</f>
        <v>98371.602926961772</v>
      </c>
    </row>
    <row r="15" spans="1:8" ht="12.75" customHeight="1">
      <c r="A15" s="246">
        <v>20</v>
      </c>
      <c r="B15" s="4" t="s">
        <v>131</v>
      </c>
      <c r="C15" s="5">
        <f>IF('PART 2024'!F$4&lt;1,0,'COEF Art 14 F I'!$AF16*'PART 2024'!$F$4)</f>
        <v>24798789.571307257</v>
      </c>
      <c r="D15" s="5">
        <f>IF('PART 2024'!F$5&lt;1,0,'COEF Art 14 F I'!$AF16*'PART 2024'!$F$5)</f>
        <v>4546413.2853240091</v>
      </c>
      <c r="E15" s="5">
        <f>IF('PART 2024'!F$6&lt;1,0,'COEF Art 14 F I'!$AF16*'PART 2024'!$F$6)</f>
        <v>655461.52401096129</v>
      </c>
      <c r="F15" s="5">
        <f>IF('PART 2024'!F$7&lt;1,0,'COEF Art 14 F I'!$AF16*'PART 2024'!$F$7)</f>
        <v>1393119.5763402223</v>
      </c>
      <c r="G15" s="5">
        <f>IF('PART 2024'!F$8&lt;1,0,'COEF Art 14 F I'!$AF16*'PART 2024'!$F$8)</f>
        <v>1200622.3140503753</v>
      </c>
      <c r="H15" s="255">
        <f>IF('PART 2024'!F$9&lt;1,0,'COEF Art 14 F I'!$AF16*'PART 2024'!$F$9)</f>
        <v>77934.058618954718</v>
      </c>
    </row>
    <row r="16" spans="1:8" ht="12.75" customHeight="1">
      <c r="A16" s="246">
        <v>23</v>
      </c>
      <c r="B16" s="4" t="s">
        <v>132</v>
      </c>
      <c r="C16" s="5">
        <f>IF('PART 2024'!F$4&lt;1,0,'COEF Art 14 F I'!$AF17*'PART 2024'!$F$4)</f>
        <v>8879384.0055625997</v>
      </c>
      <c r="D16" s="5">
        <f>IF('PART 2024'!F$5&lt;1,0,'COEF Art 14 F I'!$AF17*'PART 2024'!$F$5)</f>
        <v>1627875.7998370833</v>
      </c>
      <c r="E16" s="5">
        <f>IF('PART 2024'!F$6&lt;1,0,'COEF Art 14 F I'!$AF17*'PART 2024'!$F$6)</f>
        <v>234692.68755353257</v>
      </c>
      <c r="F16" s="5">
        <f>IF('PART 2024'!F$7&lt;1,0,'COEF Art 14 F I'!$AF17*'PART 2024'!$F$7)</f>
        <v>498816.43006898719</v>
      </c>
      <c r="G16" s="5">
        <f>IF('PART 2024'!F$8&lt;1,0,'COEF Art 14 F I'!$AF17*'PART 2024'!$F$8)</f>
        <v>429891.40826595924</v>
      </c>
      <c r="H16" s="255">
        <f>IF('PART 2024'!F$9&lt;1,0,'COEF Art 14 F I'!$AF17*'PART 2024'!$F$9)</f>
        <v>27904.847194251419</v>
      </c>
    </row>
    <row r="17" spans="1:8" ht="12.75" customHeight="1">
      <c r="A17" s="246">
        <v>21</v>
      </c>
      <c r="B17" s="4" t="s">
        <v>7</v>
      </c>
      <c r="C17" s="5">
        <f>IF('PART 2024'!F$4&lt;1,0,'COEF Art 14 F I'!$AF18*'PART 2024'!$F$4)</f>
        <v>11401824.714689186</v>
      </c>
      <c r="D17" s="5">
        <f>IF('PART 2024'!F$5&lt;1,0,'COEF Art 14 F I'!$AF18*'PART 2024'!$F$5)</f>
        <v>2090320.0622249548</v>
      </c>
      <c r="E17" s="5">
        <f>IF('PART 2024'!F$6&lt;1,0,'COEF Art 14 F I'!$AF18*'PART 2024'!$F$6)</f>
        <v>301363.79771708581</v>
      </c>
      <c r="F17" s="5">
        <f>IF('PART 2024'!F$7&lt;1,0,'COEF Art 14 F I'!$AF18*'PART 2024'!$F$7)</f>
        <v>640519.37576870818</v>
      </c>
      <c r="G17" s="5">
        <f>IF('PART 2024'!F$8&lt;1,0,'COEF Art 14 F I'!$AF18*'PART 2024'!$F$8)</f>
        <v>552014.2478722306</v>
      </c>
      <c r="H17" s="255">
        <f>IF('PART 2024'!F$9&lt;1,0,'COEF Art 14 F I'!$AF18*'PART 2024'!$F$9)</f>
        <v>35832.009990751823</v>
      </c>
    </row>
    <row r="18" spans="1:8" ht="12.75" customHeight="1">
      <c r="A18" s="246">
        <v>22</v>
      </c>
      <c r="B18" s="4" t="s">
        <v>133</v>
      </c>
      <c r="C18" s="5">
        <f>IF('PART 2024'!F$4&lt;1,0,'COEF Art 14 F I'!$AF19*'PART 2024'!$F$4)</f>
        <v>17249196.650194332</v>
      </c>
      <c r="D18" s="5">
        <f>IF('PART 2024'!F$5&lt;1,0,'COEF Art 14 F I'!$AF19*'PART 2024'!$F$5)</f>
        <v>3162330.8301444622</v>
      </c>
      <c r="E18" s="5">
        <f>IF('PART 2024'!F$6&lt;1,0,'COEF Art 14 F I'!$AF19*'PART 2024'!$F$6)</f>
        <v>455916.79754332238</v>
      </c>
      <c r="F18" s="5">
        <f>IF('PART 2024'!F$7&lt;1,0,'COEF Art 14 F I'!$AF19*'PART 2024'!$F$7)</f>
        <v>969006.71141350258</v>
      </c>
      <c r="G18" s="5">
        <f>IF('PART 2024'!F$8&lt;1,0,'COEF Art 14 F I'!$AF19*'PART 2024'!$F$8)</f>
        <v>835112.14682945493</v>
      </c>
      <c r="H18" s="255">
        <f>IF('PART 2024'!F$9&lt;1,0,'COEF Art 14 F I'!$AF19*'PART 2024'!$F$9)</f>
        <v>54208.287021456366</v>
      </c>
    </row>
    <row r="19" spans="1:8" ht="12.75" customHeight="1">
      <c r="A19" s="246">
        <v>25</v>
      </c>
      <c r="B19" s="4" t="s">
        <v>8</v>
      </c>
      <c r="C19" s="5">
        <f>IF('PART 2024'!F$4&lt;1,0,'COEF Art 14 F I'!$AF20*'PART 2024'!$F$4)</f>
        <v>25937883.767619334</v>
      </c>
      <c r="D19" s="5">
        <f>IF('PART 2024'!F$5&lt;1,0,'COEF Art 14 F I'!$AF20*'PART 2024'!$F$5)</f>
        <v>4755245.7758154282</v>
      </c>
      <c r="E19" s="5">
        <f>IF('PART 2024'!F$6&lt;1,0,'COEF Art 14 F I'!$AF20*'PART 2024'!$F$6)</f>
        <v>685569.1393750041</v>
      </c>
      <c r="F19" s="5">
        <f>IF('PART 2024'!F$7&lt;1,0,'COEF Art 14 F I'!$AF20*'PART 2024'!$F$7)</f>
        <v>1457110.3779724906</v>
      </c>
      <c r="G19" s="5">
        <f>IF('PART 2024'!F$8&lt;1,0,'COEF Art 14 F I'!$AF20*'PART 2024'!$F$8)</f>
        <v>1255771.0504822505</v>
      </c>
      <c r="H19" s="255">
        <f>IF('PART 2024'!F$9&lt;1,0,'COEF Art 14 F I'!$AF20*'PART 2024'!$F$9)</f>
        <v>81513.839543851573</v>
      </c>
    </row>
    <row r="20" spans="1:8" ht="12.75" customHeight="1">
      <c r="A20" s="246">
        <v>27</v>
      </c>
      <c r="B20" s="4" t="s">
        <v>9</v>
      </c>
      <c r="C20" s="5">
        <f>IF('PART 2024'!F$4&lt;1,0,'COEF Art 14 F I'!$AF21*'PART 2024'!$F$4)</f>
        <v>3727098.7722842623</v>
      </c>
      <c r="D20" s="5">
        <f>IF('PART 2024'!F$5&lt;1,0,'COEF Art 14 F I'!$AF21*'PART 2024'!$F$5)</f>
        <v>683296.71193442575</v>
      </c>
      <c r="E20" s="5">
        <f>IF('PART 2024'!F$6&lt;1,0,'COEF Art 14 F I'!$AF21*'PART 2024'!$F$6)</f>
        <v>98511.656562762044</v>
      </c>
      <c r="F20" s="5">
        <f>IF('PART 2024'!F$7&lt;1,0,'COEF Art 14 F I'!$AF21*'PART 2024'!$F$7)</f>
        <v>209376.92332493569</v>
      </c>
      <c r="G20" s="5">
        <f>IF('PART 2024'!F$8&lt;1,0,'COEF Art 14 F I'!$AF21*'PART 2024'!$F$8)</f>
        <v>180445.82134975368</v>
      </c>
      <c r="H20" s="255">
        <f>IF('PART 2024'!F$9&lt;1,0,'COEF Art 14 F I'!$AF21*'PART 2024'!$F$9)</f>
        <v>11712.988384477994</v>
      </c>
    </row>
    <row r="21" spans="1:8" ht="12.75" customHeight="1">
      <c r="A21" s="246">
        <v>26</v>
      </c>
      <c r="B21" s="4" t="s">
        <v>134</v>
      </c>
      <c r="C21" s="5">
        <f>IF('PART 2024'!F$4&lt;1,0,'COEF Art 14 F I'!$AF22*'PART 2024'!$F$4)</f>
        <v>2500131.170025398</v>
      </c>
      <c r="D21" s="5">
        <f>IF('PART 2024'!F$5&lt;1,0,'COEF Art 14 F I'!$AF22*'PART 2024'!$F$5)</f>
        <v>458354.20852990216</v>
      </c>
      <c r="E21" s="5">
        <f>IF('PART 2024'!F$6&lt;1,0,'COEF Art 14 F I'!$AF22*'PART 2024'!$F$6)</f>
        <v>66081.442492185713</v>
      </c>
      <c r="F21" s="5">
        <f>IF('PART 2024'!F$7&lt;1,0,'COEF Art 14 F I'!$AF22*'PART 2024'!$F$7)</f>
        <v>140449.66454373454</v>
      </c>
      <c r="G21" s="5">
        <f>IF('PART 2024'!F$8&lt;1,0,'COEF Art 14 F I'!$AF22*'PART 2024'!$F$8)</f>
        <v>121042.73324123908</v>
      </c>
      <c r="H21" s="255">
        <f>IF('PART 2024'!F$9&lt;1,0,'COEF Art 14 F I'!$AF22*'PART 2024'!$F$9)</f>
        <v>7857.0515951825173</v>
      </c>
    </row>
    <row r="22" spans="1:8" ht="12.75" customHeight="1">
      <c r="A22" s="246">
        <v>29</v>
      </c>
      <c r="B22" s="4" t="s">
        <v>10</v>
      </c>
      <c r="C22" s="5">
        <f>IF('PART 2024'!F$4&lt;1,0,'COEF Art 14 F I'!$AF23*'PART 2024'!$F$4)</f>
        <v>24223358.671649162</v>
      </c>
      <c r="D22" s="5">
        <f>IF('PART 2024'!F$5&lt;1,0,'COEF Art 14 F I'!$AF23*'PART 2024'!$F$5)</f>
        <v>4440918.3506027423</v>
      </c>
      <c r="E22" s="5">
        <f>IF('PART 2024'!F$6&lt;1,0,'COEF Art 14 F I'!$AF23*'PART 2024'!$F$6)</f>
        <v>640252.20045231108</v>
      </c>
      <c r="F22" s="5">
        <f>IF('PART 2024'!F$7&lt;1,0,'COEF Art 14 F I'!$AF23*'PART 2024'!$F$7)</f>
        <v>1360793.6416876586</v>
      </c>
      <c r="G22" s="5">
        <f>IF('PART 2024'!F$8&lt;1,0,'COEF Art 14 F I'!$AF23*'PART 2024'!$F$8)</f>
        <v>1172763.0842142971</v>
      </c>
      <c r="H22" s="255">
        <f>IF('PART 2024'!F$9&lt;1,0,'COEF Art 14 F I'!$AF23*'PART 2024'!$F$9)</f>
        <v>76125.677393888836</v>
      </c>
    </row>
    <row r="23" spans="1:8" ht="12.75" customHeight="1">
      <c r="A23" s="246">
        <v>30</v>
      </c>
      <c r="B23" s="4" t="s">
        <v>135</v>
      </c>
      <c r="C23" s="5">
        <f>IF('PART 2024'!F$4&lt;1,0,'COEF Art 14 F I'!$AF24*'PART 2024'!$F$4)</f>
        <v>92276593.865675986</v>
      </c>
      <c r="D23" s="5">
        <f>IF('PART 2024'!F$5&lt;1,0,'COEF Art 14 F I'!$AF24*'PART 2024'!$F$5)</f>
        <v>16917258.443966955</v>
      </c>
      <c r="E23" s="5">
        <f>IF('PART 2024'!F$6&lt;1,0,'COEF Art 14 F I'!$AF24*'PART 2024'!$F$6)</f>
        <v>2438980.2039256599</v>
      </c>
      <c r="F23" s="5">
        <f>IF('PART 2024'!F$7&lt;1,0,'COEF Art 14 F I'!$AF24*'PART 2024'!$F$7)</f>
        <v>5183814.6770279119</v>
      </c>
      <c r="G23" s="5">
        <f>IF('PART 2024'!F$8&lt;1,0,'COEF Art 14 F I'!$AF24*'PART 2024'!$F$8)</f>
        <v>4467530.0518651232</v>
      </c>
      <c r="H23" s="255">
        <f>IF('PART 2024'!F$9&lt;1,0,'COEF Art 14 F I'!$AF24*'PART 2024'!$F$9)</f>
        <v>289993.56822664366</v>
      </c>
    </row>
    <row r="24" spans="1:8" ht="12.75" customHeight="1">
      <c r="A24" s="246">
        <v>32</v>
      </c>
      <c r="B24" s="4" t="s">
        <v>11</v>
      </c>
      <c r="C24" s="5">
        <f>IF('PART 2024'!F$4&lt;1,0,'COEF Art 14 F I'!$AF25*'PART 2024'!$F$4)</f>
        <v>6887317.4972666828</v>
      </c>
      <c r="D24" s="5">
        <f>IF('PART 2024'!F$5&lt;1,0,'COEF Art 14 F I'!$AF25*'PART 2024'!$F$5)</f>
        <v>1262666.1345619508</v>
      </c>
      <c r="E24" s="5">
        <f>IF('PART 2024'!F$6&lt;1,0,'COEF Art 14 F I'!$AF25*'PART 2024'!$F$6)</f>
        <v>182039.99877191614</v>
      </c>
      <c r="F24" s="5">
        <f>IF('PART 2024'!F$7&lt;1,0,'COEF Art 14 F I'!$AF25*'PART 2024'!$F$7)</f>
        <v>386908.27253174566</v>
      </c>
      <c r="G24" s="5">
        <f>IF('PART 2024'!F$8&lt;1,0,'COEF Art 14 F I'!$AF25*'PART 2024'!$F$8)</f>
        <v>333446.39855872066</v>
      </c>
      <c r="H24" s="255">
        <f>IF('PART 2024'!F$9&lt;1,0,'COEF Art 14 F I'!$AF25*'PART 2024'!$F$9)</f>
        <v>21644.467929207858</v>
      </c>
    </row>
    <row r="25" spans="1:8" ht="12.75" customHeight="1">
      <c r="A25" s="246">
        <v>33</v>
      </c>
      <c r="B25" s="4" t="s">
        <v>12</v>
      </c>
      <c r="C25" s="5">
        <f>IF('PART 2024'!F$4&lt;1,0,'COEF Art 14 F I'!$AF26*'PART 2024'!$F$4)</f>
        <v>134065871.17118195</v>
      </c>
      <c r="D25" s="5">
        <f>IF('PART 2024'!F$5&lt;1,0,'COEF Art 14 F I'!$AF26*'PART 2024'!$F$5)</f>
        <v>24578572.919801917</v>
      </c>
      <c r="E25" s="5">
        <f>IF('PART 2024'!F$6&lt;1,0,'COEF Art 14 F I'!$AF26*'PART 2024'!$F$6)</f>
        <v>3543520.5409135553</v>
      </c>
      <c r="F25" s="5">
        <f>IF('PART 2024'!F$7&lt;1,0,'COEF Art 14 F I'!$AF26*'PART 2024'!$F$7)</f>
        <v>7531407.4951374466</v>
      </c>
      <c r="G25" s="5">
        <f>IF('PART 2024'!F$8&lt;1,0,'COEF Art 14 F I'!$AF26*'PART 2024'!$F$8)</f>
        <v>6490739.2361988947</v>
      </c>
      <c r="H25" s="255">
        <f>IF('PART 2024'!F$9&lt;1,0,'COEF Art 14 F I'!$AF26*'PART 2024'!$F$9)</f>
        <v>421322.88080483722</v>
      </c>
    </row>
    <row r="26" spans="1:8" ht="12.75" customHeight="1">
      <c r="A26" s="246">
        <v>34</v>
      </c>
      <c r="B26" s="4" t="s">
        <v>136</v>
      </c>
      <c r="C26" s="5">
        <f>IF('PART 2024'!F$4&lt;1,0,'COEF Art 14 F I'!$AF27*'PART 2024'!$F$4)</f>
        <v>10869691.042917728</v>
      </c>
      <c r="D26" s="5">
        <f>IF('PART 2024'!F$5&lt;1,0,'COEF Art 14 F I'!$AF27*'PART 2024'!$F$5)</f>
        <v>1992762.8976724888</v>
      </c>
      <c r="E26" s="5">
        <f>IF('PART 2024'!F$6&lt;1,0,'COEF Art 14 F I'!$AF27*'PART 2024'!$F$6)</f>
        <v>287298.87142405298</v>
      </c>
      <c r="F26" s="5">
        <f>IF('PART 2024'!F$7&lt;1,0,'COEF Art 14 F I'!$AF27*'PART 2024'!$F$7)</f>
        <v>610625.74595089036</v>
      </c>
      <c r="G26" s="5">
        <f>IF('PART 2024'!F$8&lt;1,0,'COEF Art 14 F I'!$AF27*'PART 2024'!$F$8)</f>
        <v>526251.23397394002</v>
      </c>
      <c r="H26" s="255">
        <f>IF('PART 2024'!F$9&lt;1,0,'COEF Art 14 F I'!$AF27*'PART 2024'!$F$9)</f>
        <v>34159.697047827394</v>
      </c>
    </row>
    <row r="27" spans="1:8" ht="12.75" customHeight="1">
      <c r="A27" s="246">
        <v>35</v>
      </c>
      <c r="B27" s="4" t="s">
        <v>13</v>
      </c>
      <c r="C27" s="5">
        <f>IF('PART 2024'!F$4&lt;1,0,'COEF Art 14 F I'!$AF28*'PART 2024'!$F$4)</f>
        <v>2199251.7580432221</v>
      </c>
      <c r="D27" s="5">
        <f>IF('PART 2024'!F$5&lt;1,0,'COEF Art 14 F I'!$AF28*'PART 2024'!$F$5)</f>
        <v>403193.36481279763</v>
      </c>
      <c r="E27" s="5">
        <f>IF('PART 2024'!F$6&lt;1,0,'COEF Art 14 F I'!$AF28*'PART 2024'!$F$6)</f>
        <v>58128.841525340904</v>
      </c>
      <c r="F27" s="5">
        <f>IF('PART 2024'!F$7&lt;1,0,'COEF Art 14 F I'!$AF28*'PART 2024'!$F$7)</f>
        <v>123547.18639072491</v>
      </c>
      <c r="G27" s="5">
        <f>IF('PART 2024'!F$8&lt;1,0,'COEF Art 14 F I'!$AF28*'PART 2024'!$F$8)</f>
        <v>106475.79097877794</v>
      </c>
      <c r="H27" s="255">
        <f>IF('PART 2024'!F$9&lt;1,0,'COEF Art 14 F I'!$AF28*'PART 2024'!$F$9)</f>
        <v>6911.4911813070648</v>
      </c>
    </row>
    <row r="28" spans="1:8" ht="12.75" customHeight="1">
      <c r="A28" s="246">
        <v>61</v>
      </c>
      <c r="B28" s="4" t="s">
        <v>14</v>
      </c>
      <c r="C28" s="5">
        <f>IF('PART 2024'!F$4&lt;1,0,'COEF Art 14 F I'!$AF29*'PART 2024'!$F$4)</f>
        <v>6292359.8729627738</v>
      </c>
      <c r="D28" s="5">
        <f>IF('PART 2024'!F$5&lt;1,0,'COEF Art 14 F I'!$AF29*'PART 2024'!$F$5)</f>
        <v>1153591.3251015022</v>
      </c>
      <c r="E28" s="5">
        <f>IF('PART 2024'!F$6&lt;1,0,'COEF Art 14 F I'!$AF29*'PART 2024'!$F$6)</f>
        <v>166314.56064007332</v>
      </c>
      <c r="F28" s="5">
        <f>IF('PART 2024'!F$7&lt;1,0,'COEF Art 14 F I'!$AF29*'PART 2024'!$F$7)</f>
        <v>353485.38666357246</v>
      </c>
      <c r="G28" s="5">
        <f>IF('PART 2024'!F$8&lt;1,0,'COEF Art 14 F I'!$AF29*'PART 2024'!$F$8)</f>
        <v>304641.79107577493</v>
      </c>
      <c r="H28" s="255">
        <f>IF('PART 2024'!F$9&lt;1,0,'COEF Art 14 F I'!$AF29*'PART 2024'!$F$9)</f>
        <v>19774.720930671163</v>
      </c>
    </row>
    <row r="29" spans="1:8" ht="12.75" customHeight="1">
      <c r="A29" s="246">
        <v>36</v>
      </c>
      <c r="B29" s="4" t="s">
        <v>15</v>
      </c>
      <c r="C29" s="5">
        <f>IF('PART 2024'!F$4&lt;1,0,'COEF Art 14 F I'!$AF30*'PART 2024'!$F$4)</f>
        <v>23528042.36747862</v>
      </c>
      <c r="D29" s="5">
        <f>IF('PART 2024'!F$5&lt;1,0,'COEF Art 14 F I'!$AF30*'PART 2024'!$F$5)</f>
        <v>4313444.5771875707</v>
      </c>
      <c r="E29" s="5">
        <f>IF('PART 2024'!F$6&lt;1,0,'COEF Art 14 F I'!$AF30*'PART 2024'!$F$6)</f>
        <v>621874.16296419885</v>
      </c>
      <c r="F29" s="5">
        <f>IF('PART 2024'!F$7&lt;1,0,'COEF Art 14 F I'!$AF30*'PART 2024'!$F$7)</f>
        <v>1321732.9144572751</v>
      </c>
      <c r="G29" s="5">
        <f>IF('PART 2024'!F$8&lt;1,0,'COEF Art 14 F I'!$AF30*'PART 2024'!$F$8)</f>
        <v>1139099.6560977858</v>
      </c>
      <c r="H29" s="255">
        <f>IF('PART 2024'!F$9&lt;1,0,'COEF Art 14 F I'!$AF30*'PART 2024'!$F$9)</f>
        <v>73940.53761308924</v>
      </c>
    </row>
    <row r="30" spans="1:8" ht="12.75" customHeight="1">
      <c r="A30" s="246">
        <v>28</v>
      </c>
      <c r="B30" s="4" t="s">
        <v>16</v>
      </c>
      <c r="C30" s="5">
        <f>IF('PART 2024'!F$4&lt;1,0,'COEF Art 14 F I'!$AF31*'PART 2024'!$F$4)</f>
        <v>232002759.51080263</v>
      </c>
      <c r="D30" s="5">
        <f>IF('PART 2024'!F$5&lt;1,0,'COEF Art 14 F I'!$AF31*'PART 2024'!$F$5)</f>
        <v>42533544.834468387</v>
      </c>
      <c r="E30" s="5">
        <f>IF('PART 2024'!F$6&lt;1,0,'COEF Art 14 F I'!$AF31*'PART 2024'!$F$6)</f>
        <v>6132109.0646958947</v>
      </c>
      <c r="F30" s="5">
        <f>IF('PART 2024'!F$7&lt;1,0,'COEF Art 14 F I'!$AF31*'PART 2024'!$F$7)</f>
        <v>13033200.072531367</v>
      </c>
      <c r="G30" s="5">
        <f>IF('PART 2024'!F$8&lt;1,0,'COEF Art 14 F I'!$AF31*'PART 2024'!$F$8)</f>
        <v>11232309.915328221</v>
      </c>
      <c r="H30" s="255">
        <f>IF('PART 2024'!F$9&lt;1,0,'COEF Art 14 F I'!$AF31*'PART 2024'!$F$9)</f>
        <v>729104.80600207066</v>
      </c>
    </row>
    <row r="31" spans="1:8" ht="12.75" customHeight="1">
      <c r="A31" s="246">
        <v>37</v>
      </c>
      <c r="B31" s="4" t="s">
        <v>137</v>
      </c>
      <c r="C31" s="5">
        <f>IF('PART 2024'!F$4&lt;1,0,'COEF Art 14 F I'!$AF32*'PART 2024'!$F$4)</f>
        <v>2271757.9563685921</v>
      </c>
      <c r="D31" s="5">
        <f>IF('PART 2024'!F$5&lt;1,0,'COEF Art 14 F I'!$AF32*'PART 2024'!$F$5)</f>
        <v>416486.07582947577</v>
      </c>
      <c r="E31" s="5">
        <f>IF('PART 2024'!F$6&lt;1,0,'COEF Art 14 F I'!$AF32*'PART 2024'!$F$6)</f>
        <v>60045.266644314266</v>
      </c>
      <c r="F31" s="5">
        <f>IF('PART 2024'!F$7&lt;1,0,'COEF Art 14 F I'!$AF32*'PART 2024'!$F$7)</f>
        <v>127620.36117220495</v>
      </c>
      <c r="G31" s="5">
        <f>IF('PART 2024'!F$8&lt;1,0,'COEF Art 14 F I'!$AF32*'PART 2024'!$F$8)</f>
        <v>109986.14616631994</v>
      </c>
      <c r="H31" s="255">
        <f>IF('PART 2024'!F$9&lt;1,0,'COEF Art 14 F I'!$AF32*'PART 2024'!$F$9)</f>
        <v>7139.3532023254184</v>
      </c>
    </row>
    <row r="32" spans="1:8" ht="12.75" customHeight="1">
      <c r="A32" s="246">
        <v>39</v>
      </c>
      <c r="B32" s="4" t="s">
        <v>17</v>
      </c>
      <c r="C32" s="5">
        <f>IF('PART 2024'!F$4&lt;1,0,'COEF Art 14 F I'!$AF33*'PART 2024'!$F$4)</f>
        <v>4349789.6833487852</v>
      </c>
      <c r="D32" s="5">
        <f>IF('PART 2024'!F$5&lt;1,0,'COEF Art 14 F I'!$AF33*'PART 2024'!$F$5)</f>
        <v>797455.92210772389</v>
      </c>
      <c r="E32" s="5">
        <f>IF('PART 2024'!F$6&lt;1,0,'COEF Art 14 F I'!$AF33*'PART 2024'!$F$6)</f>
        <v>114970.11847198219</v>
      </c>
      <c r="F32" s="5">
        <f>IF('PART 2024'!F$7&lt;1,0,'COEF Art 14 F I'!$AF33*'PART 2024'!$F$7)</f>
        <v>244357.77977838178</v>
      </c>
      <c r="G32" s="5">
        <f>IF('PART 2024'!F$8&lt;1,0,'COEF Art 14 F I'!$AF33*'PART 2024'!$F$8)</f>
        <v>210593.12351668821</v>
      </c>
      <c r="H32" s="255">
        <f>IF('PART 2024'!F$9&lt;1,0,'COEF Art 14 F I'!$AF33*'PART 2024'!$F$9)</f>
        <v>13669.891556096571</v>
      </c>
    </row>
    <row r="33" spans="1:8" ht="12.75" customHeight="1">
      <c r="A33" s="246">
        <v>38</v>
      </c>
      <c r="B33" s="4" t="s">
        <v>18</v>
      </c>
      <c r="C33" s="5">
        <f>IF('PART 2024'!F$4&lt;1,0,'COEF Art 14 F I'!$AF34*'PART 2024'!$F$4)</f>
        <v>3202376.7240269249</v>
      </c>
      <c r="D33" s="5">
        <f>IF('PART 2024'!F$5&lt;1,0,'COEF Art 14 F I'!$AF34*'PART 2024'!$F$5)</f>
        <v>587098.33562093903</v>
      </c>
      <c r="E33" s="5">
        <f>IF('PART 2024'!F$6&lt;1,0,'COEF Art 14 F I'!$AF34*'PART 2024'!$F$6)</f>
        <v>84642.62830055815</v>
      </c>
      <c r="F33" s="5">
        <f>IF('PART 2024'!F$7&lt;1,0,'COEF Art 14 F I'!$AF34*'PART 2024'!$F$7)</f>
        <v>179899.65567593643</v>
      </c>
      <c r="G33" s="5">
        <f>IF('PART 2024'!F$8&lt;1,0,'COEF Art 14 F I'!$AF34*'PART 2024'!$F$8)</f>
        <v>155041.63789150567</v>
      </c>
      <c r="H33" s="255">
        <f>IF('PART 2024'!F$9&lt;1,0,'COEF Art 14 F I'!$AF34*'PART 2024'!$F$9)</f>
        <v>10063.96762280097</v>
      </c>
    </row>
    <row r="34" spans="1:8" ht="12.75" customHeight="1">
      <c r="A34" s="246">
        <v>40</v>
      </c>
      <c r="B34" s="4" t="s">
        <v>19</v>
      </c>
      <c r="C34" s="5">
        <f>IF('PART 2024'!F$4&lt;1,0,'COEF Art 14 F I'!$AF35*'PART 2024'!$F$4)</f>
        <v>3796680.0370557709</v>
      </c>
      <c r="D34" s="5">
        <f>IF('PART 2024'!F$5&lt;1,0,'COEF Art 14 F I'!$AF35*'PART 2024'!$F$5)</f>
        <v>696053.18884460733</v>
      </c>
      <c r="E34" s="5">
        <f>IF('PART 2024'!F$6&lt;1,0,'COEF Art 14 F I'!$AF35*'PART 2024'!$F$6)</f>
        <v>100350.77220663655</v>
      </c>
      <c r="F34" s="5">
        <f>IF('PART 2024'!F$7&lt;1,0,'COEF Art 14 F I'!$AF35*'PART 2024'!$F$7)</f>
        <v>213285.7843530504</v>
      </c>
      <c r="G34" s="5">
        <f>IF('PART 2024'!F$8&lt;1,0,'COEF Art 14 F I'!$AF35*'PART 2024'!$F$8)</f>
        <v>183814.56718649319</v>
      </c>
      <c r="H34" s="255">
        <f>IF('PART 2024'!F$9&lt;1,0,'COEF Art 14 F I'!$AF35*'PART 2024'!$F$9)</f>
        <v>11931.658346247337</v>
      </c>
    </row>
    <row r="35" spans="1:8" ht="12.75" customHeight="1">
      <c r="A35" s="246">
        <v>41</v>
      </c>
      <c r="B35" s="4" t="s">
        <v>20</v>
      </c>
      <c r="C35" s="5">
        <f>IF('PART 2024'!F$4&lt;1,0,'COEF Art 14 F I'!$AF36*'PART 2024'!$F$4)</f>
        <v>3999884.0588205648</v>
      </c>
      <c r="D35" s="5">
        <f>IF('PART 2024'!F$5&lt;1,0,'COEF Art 14 F I'!$AF36*'PART 2024'!$F$5)</f>
        <v>733307.00163761724</v>
      </c>
      <c r="E35" s="5">
        <f>IF('PART 2024'!F$6&lt;1,0,'COEF Art 14 F I'!$AF36*'PART 2024'!$F$6)</f>
        <v>105721.69635630613</v>
      </c>
      <c r="F35" s="5">
        <f>IF('PART 2024'!F$7&lt;1,0,'COEF Art 14 F I'!$AF36*'PART 2024'!$F$7)</f>
        <v>224701.16008732162</v>
      </c>
      <c r="G35" s="5">
        <f>IF('PART 2024'!F$8&lt;1,0,'COEF Art 14 F I'!$AF36*'PART 2024'!$F$8)</f>
        <v>193652.59908454478</v>
      </c>
      <c r="H35" s="255">
        <f>IF('PART 2024'!F$9&lt;1,0,'COEF Art 14 F I'!$AF36*'PART 2024'!$F$9)</f>
        <v>12570.258633502808</v>
      </c>
    </row>
    <row r="36" spans="1:8" ht="12.75" customHeight="1">
      <c r="A36" s="246">
        <v>42</v>
      </c>
      <c r="B36" s="4" t="s">
        <v>138</v>
      </c>
      <c r="C36" s="5">
        <f>IF('PART 2024'!F$4&lt;1,0,'COEF Art 14 F I'!$AF37*'PART 2024'!$F$4)</f>
        <v>115493123.31896578</v>
      </c>
      <c r="D36" s="5">
        <f>IF('PART 2024'!F$5&lt;1,0,'COEF Art 14 F I'!$AF37*'PART 2024'!$F$5)</f>
        <v>21173592.715526674</v>
      </c>
      <c r="E36" s="5">
        <f>IF('PART 2024'!F$6&lt;1,0,'COEF Art 14 F I'!$AF37*'PART 2024'!$F$6)</f>
        <v>3052620.7098036455</v>
      </c>
      <c r="F36" s="5">
        <f>IF('PART 2024'!F$7&lt;1,0,'COEF Art 14 F I'!$AF37*'PART 2024'!$F$7)</f>
        <v>6488047.7559471903</v>
      </c>
      <c r="G36" s="5">
        <f>IF('PART 2024'!F$8&lt;1,0,'COEF Art 14 F I'!$AF37*'PART 2024'!$F$8)</f>
        <v>5591547.9494434241</v>
      </c>
      <c r="H36" s="255">
        <f>IF('PART 2024'!F$9&lt;1,0,'COEF Art 14 F I'!$AF37*'PART 2024'!$F$9)</f>
        <v>362955.1279890138</v>
      </c>
    </row>
    <row r="37" spans="1:8" ht="12.75" customHeight="1">
      <c r="A37" s="246">
        <v>43</v>
      </c>
      <c r="B37" s="4" t="s">
        <v>21</v>
      </c>
      <c r="C37" s="5">
        <f>IF('PART 2024'!F$4&lt;1,0,'COEF Art 14 F I'!$AF38*'PART 2024'!$F$4)</f>
        <v>10045766.603118779</v>
      </c>
      <c r="D37" s="5">
        <f>IF('PART 2024'!F$5&lt;1,0,'COEF Art 14 F I'!$AF38*'PART 2024'!$F$5)</f>
        <v>1841711.1292612124</v>
      </c>
      <c r="E37" s="5">
        <f>IF('PART 2024'!F$6&lt;1,0,'COEF Art 14 F I'!$AF38*'PART 2024'!$F$6)</f>
        <v>265521.56784124637</v>
      </c>
      <c r="F37" s="5">
        <f>IF('PART 2024'!F$7&lt;1,0,'COEF Art 14 F I'!$AF38*'PART 2024'!$F$7)</f>
        <v>564340.20998920279</v>
      </c>
      <c r="G37" s="5">
        <f>IF('PART 2024'!F$8&lt;1,0,'COEF Art 14 F I'!$AF38*'PART 2024'!$F$8)</f>
        <v>486361.300448369</v>
      </c>
      <c r="H37" s="255">
        <f>IF('PART 2024'!F$9&lt;1,0,'COEF Art 14 F I'!$AF38*'PART 2024'!$F$9)</f>
        <v>31570.386170203958</v>
      </c>
    </row>
    <row r="38" spans="1:8" ht="12.75" customHeight="1">
      <c r="A38" s="246">
        <v>44</v>
      </c>
      <c r="B38" s="4" t="s">
        <v>22</v>
      </c>
      <c r="C38" s="5">
        <f>IF('PART 2024'!F$4&lt;1,0,'COEF Art 14 F I'!$AF39*'PART 2024'!$F$4)</f>
        <v>25764382.226356763</v>
      </c>
      <c r="D38" s="5">
        <f>IF('PART 2024'!F$5&lt;1,0,'COEF Art 14 F I'!$AF39*'PART 2024'!$F$5)</f>
        <v>4723437.3800890082</v>
      </c>
      <c r="E38" s="5">
        <f>IF('PART 2024'!F$6&lt;1,0,'COEF Art 14 F I'!$AF39*'PART 2024'!$F$6)</f>
        <v>680983.28713704669</v>
      </c>
      <c r="F38" s="5">
        <f>IF('PART 2024'!F$7&lt;1,0,'COEF Art 14 F I'!$AF39*'PART 2024'!$F$7)</f>
        <v>1447363.5960594835</v>
      </c>
      <c r="G38" s="5">
        <f>IF('PART 2024'!F$8&lt;1,0,'COEF Art 14 F I'!$AF39*'PART 2024'!$F$8)</f>
        <v>1247371.0509031182</v>
      </c>
      <c r="H38" s="255">
        <f>IF('PART 2024'!F$9&lt;1,0,'COEF Art 14 F I'!$AF39*'PART 2024'!$F$9)</f>
        <v>80968.583927711297</v>
      </c>
    </row>
    <row r="39" spans="1:8" ht="12.75" customHeight="1">
      <c r="A39" s="246">
        <v>46</v>
      </c>
      <c r="B39" s="4" t="s">
        <v>139</v>
      </c>
      <c r="C39" s="5">
        <f>IF('PART 2024'!F$4&lt;1,0,'COEF Art 14 F I'!$AF40*'PART 2024'!$F$4)</f>
        <v>5125491.0075725345</v>
      </c>
      <c r="D39" s="5">
        <f>IF('PART 2024'!F$5&lt;1,0,'COEF Art 14 F I'!$AF40*'PART 2024'!$F$5)</f>
        <v>939666.84719153133</v>
      </c>
      <c r="E39" s="5">
        <f>IF('PART 2024'!F$6&lt;1,0,'COEF Art 14 F I'!$AF40*'PART 2024'!$F$6)</f>
        <v>135472.82771474696</v>
      </c>
      <c r="F39" s="5">
        <f>IF('PART 2024'!F$7&lt;1,0,'COEF Art 14 F I'!$AF40*'PART 2024'!$F$7)</f>
        <v>287934.28971495823</v>
      </c>
      <c r="G39" s="5">
        <f>IF('PART 2024'!F$8&lt;1,0,'COEF Art 14 F I'!$AF40*'PART 2024'!$F$8)</f>
        <v>248148.35645350142</v>
      </c>
      <c r="H39" s="255">
        <f>IF('PART 2024'!F$9&lt;1,0,'COEF Art 14 F I'!$AF40*'PART 2024'!$F$9)</f>
        <v>16107.653782314281</v>
      </c>
    </row>
    <row r="40" spans="1:8" ht="12.75" customHeight="1">
      <c r="A40" s="246">
        <v>49</v>
      </c>
      <c r="B40" s="4" t="s">
        <v>23</v>
      </c>
      <c r="C40" s="5">
        <f>IF('PART 2024'!F$4&lt;1,0,'COEF Art 14 F I'!$AF41*'PART 2024'!$F$4)</f>
        <v>879400.40094561654</v>
      </c>
      <c r="D40" s="5">
        <f>IF('PART 2024'!F$5&lt;1,0,'COEF Art 14 F I'!$AF41*'PART 2024'!$F$5)</f>
        <v>161222.29088972637</v>
      </c>
      <c r="E40" s="5">
        <f>IF('PART 2024'!F$6&lt;1,0,'COEF Art 14 F I'!$AF41*'PART 2024'!$F$6)</f>
        <v>23243.599263674823</v>
      </c>
      <c r="F40" s="5">
        <f>IF('PART 2024'!F$7&lt;1,0,'COEF Art 14 F I'!$AF41*'PART 2024'!$F$7)</f>
        <v>49402.004500101</v>
      </c>
      <c r="G40" s="5">
        <f>IF('PART 2024'!F$8&lt;1,0,'COEF Art 14 F I'!$AF41*'PART 2024'!$F$8)</f>
        <v>42575.77739123888</v>
      </c>
      <c r="H40" s="255">
        <f>IF('PART 2024'!F$9&lt;1,0,'COEF Art 14 F I'!$AF41*'PART 2024'!$F$9)</f>
        <v>2763.6527258622632</v>
      </c>
    </row>
    <row r="41" spans="1:8" ht="12.75" customHeight="1">
      <c r="A41" s="246">
        <v>48</v>
      </c>
      <c r="B41" s="4" t="s">
        <v>24</v>
      </c>
      <c r="C41" s="5">
        <f>IF('PART 2024'!F$4&lt;1,0,'COEF Art 14 F I'!$AF42*'PART 2024'!$F$4)</f>
        <v>6921333.3654312287</v>
      </c>
      <c r="D41" s="5">
        <f>IF('PART 2024'!F$5&lt;1,0,'COEF Art 14 F I'!$AF42*'PART 2024'!$F$5)</f>
        <v>1268902.3338929883</v>
      </c>
      <c r="E41" s="5">
        <f>IF('PART 2024'!F$6&lt;1,0,'COEF Art 14 F I'!$AF42*'PART 2024'!$F$6)</f>
        <v>182939.07865335868</v>
      </c>
      <c r="F41" s="5">
        <f>IF('PART 2024'!F$7&lt;1,0,'COEF Art 14 F I'!$AF42*'PART 2024'!$F$7)</f>
        <v>388819.17917942605</v>
      </c>
      <c r="G41" s="5">
        <f>IF('PART 2024'!F$8&lt;1,0,'COEF Art 14 F I'!$AF42*'PART 2024'!$F$8)</f>
        <v>335093.26161357726</v>
      </c>
      <c r="H41" s="255">
        <f>IF('PART 2024'!F$9&lt;1,0,'COEF Art 14 F I'!$AF42*'PART 2024'!$F$9)</f>
        <v>21751.368092858491</v>
      </c>
    </row>
    <row r="42" spans="1:8" ht="12.75" customHeight="1">
      <c r="A42" s="246">
        <v>47</v>
      </c>
      <c r="B42" s="4" t="s">
        <v>25</v>
      </c>
      <c r="C42" s="5">
        <f>IF('PART 2024'!F$4&lt;1,0,'COEF Art 14 F I'!$AF43*'PART 2024'!$F$4)</f>
        <v>8975101.9965403527</v>
      </c>
      <c r="D42" s="5">
        <f>IF('PART 2024'!F$5&lt;1,0,'COEF Art 14 F I'!$AF43*'PART 2024'!$F$5)</f>
        <v>1645423.9767178325</v>
      </c>
      <c r="E42" s="5">
        <f>IF('PART 2024'!F$6&lt;1,0,'COEF Art 14 F I'!$AF43*'PART 2024'!$F$6)</f>
        <v>237222.62797909818</v>
      </c>
      <c r="F42" s="5">
        <f>IF('PART 2024'!F$7&lt;1,0,'COEF Art 14 F I'!$AF43*'PART 2024'!$F$7)</f>
        <v>504193.57183050882</v>
      </c>
      <c r="G42" s="5">
        <f>IF('PART 2024'!F$8&lt;1,0,'COEF Art 14 F I'!$AF43*'PART 2024'!$F$8)</f>
        <v>434525.55202098057</v>
      </c>
      <c r="H42" s="255">
        <f>IF('PART 2024'!F$9&lt;1,0,'COEF Art 14 F I'!$AF43*'PART 2024'!$F$9)</f>
        <v>28205.655888897541</v>
      </c>
    </row>
    <row r="43" spans="1:8" ht="12.75" customHeight="1">
      <c r="A43" s="246">
        <v>45</v>
      </c>
      <c r="B43" s="4" t="s">
        <v>26</v>
      </c>
      <c r="C43" s="5">
        <f>IF('PART 2024'!F$4&lt;1,0,'COEF Art 14 F I'!$AF44*'PART 2024'!$F$4)</f>
        <v>19160672.798484452</v>
      </c>
      <c r="D43" s="5">
        <f>IF('PART 2024'!F$5&lt;1,0,'COEF Art 14 F I'!$AF44*'PART 2024'!$F$5)</f>
        <v>3512765.6983535588</v>
      </c>
      <c r="E43" s="5">
        <f>IF('PART 2024'!F$6&lt;1,0,'COEF Art 14 F I'!$AF44*'PART 2024'!$F$6)</f>
        <v>506439.38719094283</v>
      </c>
      <c r="F43" s="5">
        <f>IF('PART 2024'!F$7&lt;1,0,'COEF Art 14 F I'!$AF44*'PART 2024'!$F$7)</f>
        <v>1076387.5508788056</v>
      </c>
      <c r="G43" s="5">
        <f>IF('PART 2024'!F$8&lt;1,0,'COEF Art 14 F I'!$AF44*'PART 2024'!$F$8)</f>
        <v>927655.4102743573</v>
      </c>
      <c r="H43" s="255">
        <f>IF('PART 2024'!F$9&lt;1,0,'COEF Art 14 F I'!$AF44*'PART 2024'!$F$9)</f>
        <v>60215.398528299287</v>
      </c>
    </row>
    <row r="44" spans="1:8" ht="12.75" customHeight="1">
      <c r="A44" s="246">
        <v>70</v>
      </c>
      <c r="B44" s="4" t="s">
        <v>27</v>
      </c>
      <c r="C44" s="5">
        <f>IF('PART 2024'!F$4&lt;1,0,'COEF Art 14 F I'!$AF45*'PART 2024'!$F$4)</f>
        <v>654225907.11630464</v>
      </c>
      <c r="D44" s="5">
        <f>IF('PART 2024'!F$5&lt;1,0,'COEF Art 14 F I'!$AF45*'PART 2024'!$F$5)</f>
        <v>119940586.09853052</v>
      </c>
      <c r="E44" s="5">
        <f>IF('PART 2024'!F$6&lt;1,0,'COEF Art 14 F I'!$AF45*'PART 2024'!$F$6)</f>
        <v>17291969.387976125</v>
      </c>
      <c r="F44" s="5">
        <f>IF('PART 2024'!F$7&lt;1,0,'COEF Art 14 F I'!$AF45*'PART 2024'!$F$7)</f>
        <v>36752395.35106951</v>
      </c>
      <c r="G44" s="5">
        <f>IF('PART 2024'!F$8&lt;1,0,'COEF Art 14 F I'!$AF45*'PART 2024'!$F$8)</f>
        <v>31674054.907199949</v>
      </c>
      <c r="H44" s="255">
        <f>IF('PART 2024'!F$9&lt;1,0,'COEF Art 14 F I'!$AF45*'PART 2024'!$F$9)</f>
        <v>2056006.8082610527</v>
      </c>
    </row>
    <row r="45" spans="1:8" ht="12.75" customHeight="1">
      <c r="A45" s="246">
        <v>50</v>
      </c>
      <c r="B45" s="4" t="s">
        <v>140</v>
      </c>
      <c r="C45" s="5">
        <f>IF('PART 2024'!F$4&lt;1,0,'COEF Art 14 F I'!$AF46*'PART 2024'!$F$4)</f>
        <v>4534584.6813290752</v>
      </c>
      <c r="D45" s="5">
        <f>IF('PART 2024'!F$5&lt;1,0,'COEF Art 14 F I'!$AF46*'PART 2024'!$F$5)</f>
        <v>831334.77056777501</v>
      </c>
      <c r="E45" s="5">
        <f>IF('PART 2024'!F$6&lt;1,0,'COEF Art 14 F I'!$AF46*'PART 2024'!$F$6)</f>
        <v>119854.47021251668</v>
      </c>
      <c r="F45" s="5">
        <f>IF('PART 2024'!F$7&lt;1,0,'COEF Art 14 F I'!$AF46*'PART 2024'!$F$7)</f>
        <v>254738.99328704269</v>
      </c>
      <c r="G45" s="5">
        <f>IF('PART 2024'!F$8&lt;1,0,'COEF Art 14 F I'!$AF46*'PART 2024'!$F$8)</f>
        <v>219539.89075555123</v>
      </c>
      <c r="H45" s="255">
        <f>IF('PART 2024'!F$9&lt;1,0,'COEF Art 14 F I'!$AF46*'PART 2024'!$F$9)</f>
        <v>14250.638618918894</v>
      </c>
    </row>
    <row r="46" spans="1:8" ht="12.75" customHeight="1">
      <c r="A46" s="246">
        <v>51</v>
      </c>
      <c r="B46" s="4" t="s">
        <v>141</v>
      </c>
      <c r="C46" s="5">
        <f>IF('PART 2024'!F$4&lt;1,0,'COEF Art 14 F I'!$AF47*'PART 2024'!$F$4)</f>
        <v>33116247.336820371</v>
      </c>
      <c r="D46" s="5">
        <f>IF('PART 2024'!F$5&lt;1,0,'COEF Art 14 F I'!$AF47*'PART 2024'!$F$5)</f>
        <v>6071269.987564126</v>
      </c>
      <c r="E46" s="5">
        <f>IF('PART 2024'!F$6&lt;1,0,'COEF Art 14 F I'!$AF47*'PART 2024'!$F$6)</f>
        <v>875301.83223261149</v>
      </c>
      <c r="F46" s="5">
        <f>IF('PART 2024'!F$7&lt;1,0,'COEF Art 14 F I'!$AF47*'PART 2024'!$F$7)</f>
        <v>1860368.721916504</v>
      </c>
      <c r="G46" s="5">
        <f>IF('PART 2024'!F$8&lt;1,0,'COEF Art 14 F I'!$AF47*'PART 2024'!$F$8)</f>
        <v>1603308.3145397212</v>
      </c>
      <c r="H46" s="255">
        <f>IF('PART 2024'!F$9&lt;1,0,'COEF Art 14 F I'!$AF47*'PART 2024'!$F$9)</f>
        <v>104072.96508429997</v>
      </c>
    </row>
    <row r="47" spans="1:8" ht="12.75" customHeight="1">
      <c r="A47" s="246">
        <v>52</v>
      </c>
      <c r="B47" s="4" t="s">
        <v>142</v>
      </c>
      <c r="C47" s="5">
        <f>IF('PART 2024'!F$4&lt;1,0,'COEF Art 14 F I'!$AF48*'PART 2024'!$F$4)</f>
        <v>5131017.8345466089</v>
      </c>
      <c r="D47" s="5">
        <f>IF('PART 2024'!F$5&lt;1,0,'COEF Art 14 F I'!$AF48*'PART 2024'!$F$5)</f>
        <v>940680.0917899569</v>
      </c>
      <c r="E47" s="5">
        <f>IF('PART 2024'!F$6&lt;1,0,'COEF Art 14 F I'!$AF48*'PART 2024'!$F$6)</f>
        <v>135618.90832972838</v>
      </c>
      <c r="F47" s="5">
        <f>IF('PART 2024'!F$7&lt;1,0,'COEF Art 14 F I'!$AF48*'PART 2024'!$F$7)</f>
        <v>288244.76982248481</v>
      </c>
      <c r="G47" s="5">
        <f>IF('PART 2024'!F$8&lt;1,0,'COEF Art 14 F I'!$AF48*'PART 2024'!$F$8)</f>
        <v>248415.93531140854</v>
      </c>
      <c r="H47" s="255">
        <f>IF('PART 2024'!F$9&lt;1,0,'COEF Art 14 F I'!$AF48*'PART 2024'!$F$9)</f>
        <v>16125.022696879074</v>
      </c>
    </row>
    <row r="48" spans="1:8" ht="12.75" customHeight="1">
      <c r="A48" s="246">
        <v>53</v>
      </c>
      <c r="B48" s="4" t="s">
        <v>28</v>
      </c>
      <c r="C48" s="5">
        <f>IF('PART 2024'!F$4&lt;1,0,'COEF Art 14 F I'!$AF49*'PART 2024'!$F$4)</f>
        <v>4671780.4429954803</v>
      </c>
      <c r="D48" s="5">
        <f>IF('PART 2024'!F$5&lt;1,0,'COEF Art 14 F I'!$AF49*'PART 2024'!$F$5)</f>
        <v>856487.15277323464</v>
      </c>
      <c r="E48" s="5">
        <f>IF('PART 2024'!F$6&lt;1,0,'COEF Art 14 F I'!$AF49*'PART 2024'!$F$6)</f>
        <v>123480.71748443005</v>
      </c>
      <c r="F48" s="5">
        <f>IF('PART 2024'!F$7&lt;1,0,'COEF Art 14 F I'!$AF49*'PART 2024'!$F$7)</f>
        <v>262446.22838490078</v>
      </c>
      <c r="G48" s="5">
        <f>IF('PART 2024'!F$8&lt;1,0,'COEF Art 14 F I'!$AF49*'PART 2024'!$F$8)</f>
        <v>226182.16224126954</v>
      </c>
      <c r="H48" s="255">
        <f>IF('PART 2024'!F$9&lt;1,0,'COEF Art 14 F I'!$AF49*'PART 2024'!$F$9)</f>
        <v>14681.797668082845</v>
      </c>
    </row>
    <row r="49" spans="1:8" ht="12.75" customHeight="1">
      <c r="A49" s="246">
        <v>54</v>
      </c>
      <c r="B49" s="4" t="s">
        <v>29</v>
      </c>
      <c r="C49" s="5">
        <f>IF('PART 2024'!F$4&lt;1,0,'COEF Art 14 F I'!$AF50*'PART 2024'!$F$4)</f>
        <v>11871451.067408705</v>
      </c>
      <c r="D49" s="5">
        <f>IF('PART 2024'!F$5&lt;1,0,'COEF Art 14 F I'!$AF50*'PART 2024'!$F$5)</f>
        <v>2176417.6309390608</v>
      </c>
      <c r="E49" s="5">
        <f>IF('PART 2024'!F$6&lt;1,0,'COEF Art 14 F I'!$AF50*'PART 2024'!$F$6)</f>
        <v>313776.58117105736</v>
      </c>
      <c r="F49" s="5">
        <f>IF('PART 2024'!F$7&lt;1,0,'COEF Art 14 F I'!$AF50*'PART 2024'!$F$7)</f>
        <v>666901.5370293447</v>
      </c>
      <c r="G49" s="5">
        <f>IF('PART 2024'!F$8&lt;1,0,'COEF Art 14 F I'!$AF50*'PART 2024'!$F$8)</f>
        <v>574750.99785431544</v>
      </c>
      <c r="H49" s="255">
        <f>IF('PART 2024'!F$9&lt;1,0,'COEF Art 14 F I'!$AF50*'PART 2024'!$F$9)</f>
        <v>37307.883948091898</v>
      </c>
    </row>
    <row r="50" spans="1:8" ht="12.75" customHeight="1">
      <c r="A50" s="246">
        <v>55</v>
      </c>
      <c r="B50" s="4" t="s">
        <v>30</v>
      </c>
      <c r="C50" s="5">
        <f>IF('PART 2024'!F$4&lt;1,0,'COEF Art 14 F I'!$AF51*'PART 2024'!$F$4)</f>
        <v>27666304.305716768</v>
      </c>
      <c r="D50" s="5">
        <f>IF('PART 2024'!F$5&lt;1,0,'COEF Art 14 F I'!$AF51*'PART 2024'!$F$5)</f>
        <v>5072120.6811182676</v>
      </c>
      <c r="E50" s="5">
        <f>IF('PART 2024'!F$6&lt;1,0,'COEF Art 14 F I'!$AF51*'PART 2024'!$F$6)</f>
        <v>731253.3513715443</v>
      </c>
      <c r="F50" s="5">
        <f>IF('PART 2024'!F$7&lt;1,0,'COEF Art 14 F I'!$AF51*'PART 2024'!$F$7)</f>
        <v>1554207.7173748147</v>
      </c>
      <c r="G50" s="5">
        <f>IF('PART 2024'!F$8&lt;1,0,'COEF Art 14 F I'!$AF51*'PART 2024'!$F$8)</f>
        <v>1339451.7583706616</v>
      </c>
      <c r="H50" s="255">
        <f>IF('PART 2024'!F$9&lt;1,0,'COEF Art 14 F I'!$AF51*'PART 2024'!$F$9)</f>
        <v>86945.670284902939</v>
      </c>
    </row>
    <row r="51" spans="1:8" ht="12.75" customHeight="1">
      <c r="A51" s="246">
        <v>58</v>
      </c>
      <c r="B51" s="4" t="s">
        <v>143</v>
      </c>
      <c r="C51" s="5">
        <f>IF('PART 2024'!F$4&lt;1,0,'COEF Art 14 F I'!$AF52*'PART 2024'!$F$4)</f>
        <v>152569059.06645501</v>
      </c>
      <c r="D51" s="5">
        <f>IF('PART 2024'!F$5&lt;1,0,'COEF Art 14 F I'!$AF52*'PART 2024'!$F$5)</f>
        <v>27970800.553575147</v>
      </c>
      <c r="E51" s="5">
        <f>IF('PART 2024'!F$6&lt;1,0,'COEF Art 14 F I'!$AF52*'PART 2024'!$F$6)</f>
        <v>4032581.8195708557</v>
      </c>
      <c r="F51" s="5">
        <f>IF('PART 2024'!F$7&lt;1,0,'COEF Art 14 F I'!$AF52*'PART 2024'!$F$7)</f>
        <v>8570859.5703077223</v>
      </c>
      <c r="G51" s="5">
        <f>IF('PART 2024'!F$8&lt;1,0,'COEF Art 14 F I'!$AF52*'PART 2024'!$F$8)</f>
        <v>7386562.8087266153</v>
      </c>
      <c r="H51" s="255">
        <f>IF('PART 2024'!F$9&lt;1,0,'COEF Art 14 F I'!$AF52*'PART 2024'!$F$9)</f>
        <v>479472.03062206064</v>
      </c>
    </row>
    <row r="52" spans="1:8" ht="12.75" customHeight="1">
      <c r="A52" s="246">
        <v>31</v>
      </c>
      <c r="B52" s="4" t="s">
        <v>144</v>
      </c>
      <c r="C52" s="5">
        <f>IF('PART 2024'!F$4&lt;1,0,'COEF Art 14 F I'!$AF53*'PART 2024'!$F$4)</f>
        <v>329245482.74934125</v>
      </c>
      <c r="D52" s="5">
        <f>IF('PART 2024'!F$5&lt;1,0,'COEF Art 14 F I'!$AF53*'PART 2024'!$F$5)</f>
        <v>60361254.028158382</v>
      </c>
      <c r="E52" s="5">
        <f>IF('PART 2024'!F$6&lt;1,0,'COEF Art 14 F I'!$AF53*'PART 2024'!$F$6)</f>
        <v>8702349.9786579181</v>
      </c>
      <c r="F52" s="5">
        <f>IF('PART 2024'!F$7&lt;1,0,'COEF Art 14 F I'!$AF53*'PART 2024'!$F$7)</f>
        <v>18495996.593736783</v>
      </c>
      <c r="G52" s="5">
        <f>IF('PART 2024'!F$8&lt;1,0,'COEF Art 14 F I'!$AF53*'PART 2024'!$F$8)</f>
        <v>15940272.901324073</v>
      </c>
      <c r="H52" s="255">
        <f>IF('PART 2024'!F$9&lt;1,0,'COEF Art 14 F I'!$AF53*'PART 2024'!$F$9)</f>
        <v>1034705.2092535089</v>
      </c>
    </row>
    <row r="53" spans="1:8" ht="12.75" customHeight="1">
      <c r="A53" s="246">
        <v>57</v>
      </c>
      <c r="B53" s="4" t="s">
        <v>31</v>
      </c>
      <c r="C53" s="5">
        <f>IF('PART 2024'!F$4&lt;1,0,'COEF Art 14 F I'!$AF54*'PART 2024'!$F$4)</f>
        <v>118473445.9515574</v>
      </c>
      <c r="D53" s="5">
        <f>IF('PART 2024'!F$5&lt;1,0,'COEF Art 14 F I'!$AF54*'PART 2024'!$F$5)</f>
        <v>21719981.416168895</v>
      </c>
      <c r="E53" s="5">
        <f>IF('PART 2024'!F$6&lt;1,0,'COEF Art 14 F I'!$AF54*'PART 2024'!$F$6)</f>
        <v>3131394.1841776972</v>
      </c>
      <c r="F53" s="5">
        <f>IF('PART 2024'!F$7&lt;1,0,'COEF Art 14 F I'!$AF54*'PART 2024'!$F$7)</f>
        <v>6655473.0970645295</v>
      </c>
      <c r="G53" s="5">
        <f>IF('PART 2024'!F$8&lt;1,0,'COEF Art 14 F I'!$AF54*'PART 2024'!$F$8)</f>
        <v>5735838.9377382305</v>
      </c>
      <c r="H53" s="255">
        <f>IF('PART 2024'!F$9&lt;1,0,'COEF Art 14 F I'!$AF54*'PART 2024'!$F$9)</f>
        <v>372321.25604473689</v>
      </c>
    </row>
    <row r="54" spans="1:8" ht="12.75" customHeight="1">
      <c r="A54" s="246">
        <v>56</v>
      </c>
      <c r="B54" s="4" t="s">
        <v>32</v>
      </c>
      <c r="C54" s="5">
        <f>IF('PART 2024'!F$4&lt;1,0,'COEF Art 14 F I'!$AF55*'PART 2024'!$F$4)</f>
        <v>38205530.02082786</v>
      </c>
      <c r="D54" s="5">
        <f>IF('PART 2024'!F$5&lt;1,0,'COEF Art 14 F I'!$AF55*'PART 2024'!$F$5)</f>
        <v>7004298.6880500652</v>
      </c>
      <c r="E54" s="5">
        <f>IF('PART 2024'!F$6&lt;1,0,'COEF Art 14 F I'!$AF55*'PART 2024'!$F$6)</f>
        <v>1009817.6308602095</v>
      </c>
      <c r="F54" s="5">
        <f>IF('PART 2024'!F$7&lt;1,0,'COEF Art 14 F I'!$AF55*'PART 2024'!$F$7)</f>
        <v>2146268.9395958139</v>
      </c>
      <c r="G54" s="5">
        <f>IF('PART 2024'!F$8&lt;1,0,'COEF Art 14 F I'!$AF55*'PART 2024'!$F$8)</f>
        <v>1849703.6611900004</v>
      </c>
      <c r="H54" s="255">
        <f>IF('PART 2024'!F$9&lt;1,0,'COEF Art 14 F I'!$AF55*'PART 2024'!$F$9)</f>
        <v>120066.82857039441</v>
      </c>
    </row>
    <row r="55" spans="1:8" ht="12.75" customHeight="1">
      <c r="A55" s="246">
        <v>59</v>
      </c>
      <c r="B55" s="4" t="s">
        <v>33</v>
      </c>
      <c r="C55" s="5">
        <f>IF('PART 2024'!F$4&lt;1,0,'COEF Art 14 F I'!$AF56*'PART 2024'!$F$4)</f>
        <v>7053883.9858925324</v>
      </c>
      <c r="D55" s="5">
        <f>IF('PART 2024'!F$5&lt;1,0,'COEF Art 14 F I'!$AF56*'PART 2024'!$F$5)</f>
        <v>1293203.1127721504</v>
      </c>
      <c r="E55" s="5">
        <f>IF('PART 2024'!F$6&lt;1,0,'COEF Art 14 F I'!$AF56*'PART 2024'!$F$6)</f>
        <v>186442.54931455129</v>
      </c>
      <c r="F55" s="5">
        <f>IF('PART 2024'!F$7&lt;1,0,'COEF Art 14 F I'!$AF56*'PART 2024'!$F$7)</f>
        <v>396265.46455919067</v>
      </c>
      <c r="G55" s="5">
        <f>IF('PART 2024'!F$8&lt;1,0,'COEF Art 14 F I'!$AF56*'PART 2024'!$F$8)</f>
        <v>341510.6406638514</v>
      </c>
      <c r="H55" s="255">
        <f>IF('PART 2024'!F$9&lt;1,0,'COEF Art 14 F I'!$AF56*'PART 2024'!$F$9)</f>
        <v>22167.929062308485</v>
      </c>
    </row>
    <row r="56" spans="1:8" ht="12.75" customHeight="1">
      <c r="A56" s="246">
        <v>60</v>
      </c>
      <c r="B56" s="4" t="s">
        <v>34</v>
      </c>
      <c r="C56" s="5">
        <f>IF('PART 2024'!F$4&lt;1,0,'COEF Art 14 F I'!$AF57*'PART 2024'!$F$4)</f>
        <v>6056268.2457879744</v>
      </c>
      <c r="D56" s="5">
        <f>IF('PART 2024'!F$5&lt;1,0,'COEF Art 14 F I'!$AF57*'PART 2024'!$F$5)</f>
        <v>1110308.1597173666</v>
      </c>
      <c r="E56" s="5">
        <f>IF('PART 2024'!F$6&lt;1,0,'COEF Art 14 F I'!$AF57*'PART 2024'!$F$6)</f>
        <v>160074.37793642757</v>
      </c>
      <c r="F56" s="5">
        <f>IF('PART 2024'!F$7&lt;1,0,'COEF Art 14 F I'!$AF57*'PART 2024'!$F$7)</f>
        <v>340222.4866062334</v>
      </c>
      <c r="G56" s="5">
        <f>IF('PART 2024'!F$8&lt;1,0,'COEF Art 14 F I'!$AF57*'PART 2024'!$F$8)</f>
        <v>293211.520459886</v>
      </c>
      <c r="H56" s="255">
        <f>IF('PART 2024'!F$9&lt;1,0,'COEF Art 14 F I'!$AF57*'PART 2024'!$F$9)</f>
        <v>19032.766221197198</v>
      </c>
    </row>
    <row r="57" spans="1:8" s="100" customFormat="1" ht="16.5" customHeight="1" thickBot="1">
      <c r="B57" s="6" t="s">
        <v>35</v>
      </c>
      <c r="C57" s="7">
        <f>SUM(C6:C56)</f>
        <v>2512197784.329999</v>
      </c>
      <c r="D57" s="7">
        <f t="shared" ref="D57:H57" si="0">SUM(D6:D56)</f>
        <v>460566405.83999985</v>
      </c>
      <c r="E57" s="7">
        <f t="shared" si="0"/>
        <v>66400377.470000021</v>
      </c>
      <c r="F57" s="7">
        <f t="shared" si="0"/>
        <v>141127529.74999997</v>
      </c>
      <c r="G57" s="7">
        <f t="shared" si="0"/>
        <v>121626932.97999994</v>
      </c>
      <c r="H57" s="250">
        <f t="shared" si="0"/>
        <v>7894972.8100000015</v>
      </c>
    </row>
    <row r="58" spans="1:8" ht="13.5" thickTop="1">
      <c r="C58" s="101"/>
      <c r="G58" s="102"/>
    </row>
    <row r="59" spans="1:8">
      <c r="B59" s="165"/>
      <c r="C59" s="103"/>
    </row>
    <row r="60" spans="1:8">
      <c r="B60" s="165"/>
      <c r="C60" s="104"/>
    </row>
    <row r="64" spans="1:8">
      <c r="F64" s="105"/>
    </row>
  </sheetData>
  <mergeCells count="3">
    <mergeCell ref="B1:H1"/>
    <mergeCell ref="B3:B4"/>
    <mergeCell ref="C3:H3"/>
  </mergeCells>
  <printOptions horizontalCentered="1" verticalCentered="1"/>
  <pageMargins left="0.19685039370078741" right="0.19685039370078741" top="0.39370078740157483" bottom="0.19685039370078741" header="0.11811023622047245" footer="0.15748031496062992"/>
  <pageSetup scale="85" orientation="portrait" horizontalDpi="300" verticalDpi="300" r:id="rId1"/>
  <headerFooter alignWithMargins="0">
    <oddHeader>&amp;LANEXO 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zoomScaleNormal="100" workbookViewId="0">
      <selection activeCell="M5" sqref="M5"/>
    </sheetView>
  </sheetViews>
  <sheetFormatPr baseColWidth="10" defaultColWidth="9.7109375" defaultRowHeight="12.75"/>
  <cols>
    <col min="1" max="1" width="3" style="11" bestFit="1" customWidth="1"/>
    <col min="2" max="2" width="28.7109375" style="11" customWidth="1"/>
    <col min="3" max="3" width="12.42578125" style="11" customWidth="1"/>
    <col min="4" max="4" width="14.140625" style="50" customWidth="1"/>
    <col min="5" max="5" width="17.28515625" style="11" customWidth="1"/>
    <col min="6" max="6" width="15.7109375" style="50" customWidth="1"/>
    <col min="7" max="7" width="2" style="11" customWidth="1"/>
    <col min="8" max="8" width="16.140625" style="50" customWidth="1"/>
    <col min="9" max="9" width="2" style="50" customWidth="1"/>
    <col min="10" max="12" width="18.42578125" style="11" customWidth="1"/>
    <col min="13" max="13" width="15.7109375" style="11" customWidth="1"/>
    <col min="14" max="14" width="15.7109375" style="50" customWidth="1"/>
    <col min="15" max="16384" width="9.7109375" style="11"/>
  </cols>
  <sheetData>
    <row r="1" spans="1:14" s="61" customFormat="1" ht="51" customHeight="1">
      <c r="B1" s="273" t="s">
        <v>96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3" spans="1:14" ht="37.5" customHeight="1" thickBot="1">
      <c r="C3" s="275" t="s">
        <v>74</v>
      </c>
      <c r="D3" s="276"/>
      <c r="E3" s="277" t="s">
        <v>76</v>
      </c>
      <c r="F3" s="277"/>
      <c r="H3" s="75" t="s">
        <v>75</v>
      </c>
      <c r="I3" s="75"/>
    </row>
    <row r="4" spans="1:14" ht="39" customHeight="1" thickBot="1">
      <c r="B4" s="8" t="s">
        <v>0</v>
      </c>
      <c r="C4" s="8" t="s">
        <v>149</v>
      </c>
      <c r="D4" s="76" t="s">
        <v>62</v>
      </c>
      <c r="E4" s="53" t="s">
        <v>206</v>
      </c>
      <c r="F4" s="76" t="s">
        <v>63</v>
      </c>
      <c r="H4" s="76" t="s">
        <v>69</v>
      </c>
      <c r="I4" s="159"/>
      <c r="J4" s="83" t="s">
        <v>66</v>
      </c>
      <c r="K4" s="83" t="s">
        <v>67</v>
      </c>
      <c r="L4" s="83" t="s">
        <v>68</v>
      </c>
      <c r="M4" s="83" t="s">
        <v>97</v>
      </c>
      <c r="N4" s="84" t="s">
        <v>61</v>
      </c>
    </row>
    <row r="5" spans="1:14" s="14" customFormat="1" ht="11.25">
      <c r="B5" s="54"/>
      <c r="C5" s="20" t="s">
        <v>40</v>
      </c>
      <c r="D5" s="74" t="s">
        <v>49</v>
      </c>
      <c r="E5" s="55" t="s">
        <v>39</v>
      </c>
      <c r="F5" s="74" t="s">
        <v>50</v>
      </c>
      <c r="H5" s="65" t="s">
        <v>46</v>
      </c>
      <c r="I5" s="65"/>
      <c r="J5" s="13">
        <f>+M5*0.35</f>
        <v>114831869.67000002</v>
      </c>
      <c r="K5" s="13">
        <f>+M5*0.35</f>
        <v>114831869.67000002</v>
      </c>
      <c r="L5" s="13">
        <f>+M5*0.3</f>
        <v>98427316.860000014</v>
      </c>
      <c r="M5" s="13">
        <f>+'PART 2024'!D12</f>
        <v>328091056.20000005</v>
      </c>
      <c r="N5" s="85"/>
    </row>
    <row r="6" spans="1:14" s="16" customFormat="1" ht="23.25" customHeight="1" thickBot="1">
      <c r="B6" s="15"/>
      <c r="C6" s="15"/>
      <c r="D6" s="56"/>
      <c r="E6" s="57"/>
      <c r="F6" s="58"/>
      <c r="H6" s="18"/>
      <c r="I6" s="18"/>
      <c r="J6" s="13" t="s">
        <v>64</v>
      </c>
      <c r="K6" s="13" t="s">
        <v>45</v>
      </c>
      <c r="L6" s="13" t="s">
        <v>65</v>
      </c>
      <c r="M6" s="20" t="s">
        <v>77</v>
      </c>
      <c r="N6" s="86" t="s">
        <v>47</v>
      </c>
    </row>
    <row r="7" spans="1:14" ht="13.5" thickTop="1">
      <c r="A7" s="246">
        <v>15</v>
      </c>
      <c r="B7" s="2" t="s">
        <v>1</v>
      </c>
      <c r="C7" s="21">
        <v>2974</v>
      </c>
      <c r="D7" s="77">
        <f t="shared" ref="D7:D57" si="0">+C7/$C$58</f>
        <v>5.141377508841821E-4</v>
      </c>
      <c r="E7" s="27">
        <v>2947</v>
      </c>
      <c r="F7" s="77">
        <f t="shared" ref="F7:F58" si="1">(E7/E$58)</f>
        <v>5.0517959074453393E-4</v>
      </c>
      <c r="H7" s="87">
        <f>+'COEF Art 14 F I'!AF7</f>
        <v>7.0919126407022551E-4</v>
      </c>
      <c r="I7" s="160"/>
      <c r="J7" s="27">
        <f t="shared" ref="J7:J38" si="2">+D7*J$5</f>
        <v>59039.399201959335</v>
      </c>
      <c r="K7" s="28">
        <f t="shared" ref="K7:K38" si="3">+F7*K$5</f>
        <v>58010.716924320266</v>
      </c>
      <c r="L7" s="28">
        <f t="shared" ref="L7:L38" si="4">+H7*L$5</f>
        <v>69803.793262984036</v>
      </c>
      <c r="M7" s="28">
        <f>SUM(J7:L7)</f>
        <v>186853.90938926366</v>
      </c>
      <c r="N7" s="88">
        <f>ROUND(+M7/M$58,8)</f>
        <v>5.6952000000000001E-4</v>
      </c>
    </row>
    <row r="8" spans="1:14">
      <c r="A8" s="246">
        <v>11</v>
      </c>
      <c r="B8" s="4" t="s">
        <v>2</v>
      </c>
      <c r="C8" s="30">
        <v>3382</v>
      </c>
      <c r="D8" s="78">
        <f t="shared" si="0"/>
        <v>5.8467177992276519E-4</v>
      </c>
      <c r="E8" s="36">
        <v>2603</v>
      </c>
      <c r="F8" s="78">
        <f t="shared" si="1"/>
        <v>4.462105445225727E-4</v>
      </c>
      <c r="H8" s="89">
        <f>+'COEF Art 14 F I'!AF8</f>
        <v>1.2441896089953014E-3</v>
      </c>
      <c r="I8" s="160"/>
      <c r="J8" s="36">
        <f t="shared" si="2"/>
        <v>67138.953631817902</v>
      </c>
      <c r="K8" s="37">
        <f t="shared" si="3"/>
        <v>51239.191093995811</v>
      </c>
      <c r="L8" s="37">
        <f t="shared" si="4"/>
        <v>122462.24487850006</v>
      </c>
      <c r="M8" s="37">
        <f t="shared" ref="M8:M57" si="5">SUM(J8:L8)</f>
        <v>240840.38960431376</v>
      </c>
      <c r="N8" s="90">
        <f t="shared" ref="N8:N57" si="6">ROUND(+M8/M$58,8)</f>
        <v>7.3406999999999997E-4</v>
      </c>
    </row>
    <row r="9" spans="1:14">
      <c r="A9" s="246">
        <v>12</v>
      </c>
      <c r="B9" s="4" t="s">
        <v>145</v>
      </c>
      <c r="C9" s="30">
        <v>1407</v>
      </c>
      <c r="D9" s="78">
        <f t="shared" si="0"/>
        <v>2.4323867366981983E-4</v>
      </c>
      <c r="E9" s="36">
        <v>1613</v>
      </c>
      <c r="F9" s="78">
        <f t="shared" si="1"/>
        <v>2.765031149884402E-4</v>
      </c>
      <c r="H9" s="89">
        <f>+'COEF Art 14 F I'!AF9</f>
        <v>1.5930061358846942E-3</v>
      </c>
      <c r="I9" s="160"/>
      <c r="J9" s="36">
        <f t="shared" si="2"/>
        <v>27931.551673556416</v>
      </c>
      <c r="K9" s="37">
        <f t="shared" si="3"/>
        <v>31751.369663701593</v>
      </c>
      <c r="L9" s="37">
        <f t="shared" si="4"/>
        <v>156795.31969664703</v>
      </c>
      <c r="M9" s="37">
        <f t="shared" si="5"/>
        <v>216478.24103390504</v>
      </c>
      <c r="N9" s="90">
        <f t="shared" si="6"/>
        <v>6.5981000000000004E-4</v>
      </c>
    </row>
    <row r="10" spans="1:14" ht="13.5" customHeight="1">
      <c r="A10" s="246">
        <v>13</v>
      </c>
      <c r="B10" s="4" t="s">
        <v>3</v>
      </c>
      <c r="C10" s="30">
        <v>35289</v>
      </c>
      <c r="D10" s="78">
        <f t="shared" si="0"/>
        <v>6.1006748792709828E-3</v>
      </c>
      <c r="E10" s="36">
        <v>39811</v>
      </c>
      <c r="F10" s="78">
        <f t="shared" si="1"/>
        <v>6.824467148670051E-3</v>
      </c>
      <c r="H10" s="89">
        <f>+'COEF Art 14 F I'!AF10</f>
        <v>5.3170272277897135E-3</v>
      </c>
      <c r="I10" s="160"/>
      <c r="J10" s="36">
        <f t="shared" si="2"/>
        <v>700551.90263548854</v>
      </c>
      <c r="K10" s="37">
        <f t="shared" si="3"/>
        <v>783666.32218327594</v>
      </c>
      <c r="L10" s="37">
        <f t="shared" si="4"/>
        <v>523340.72370290558</v>
      </c>
      <c r="M10" s="37">
        <f t="shared" si="5"/>
        <v>2007558.94852167</v>
      </c>
      <c r="N10" s="90">
        <f t="shared" si="6"/>
        <v>6.11891E-3</v>
      </c>
    </row>
    <row r="11" spans="1:14">
      <c r="A11" s="246">
        <v>14</v>
      </c>
      <c r="B11" s="4" t="s">
        <v>146</v>
      </c>
      <c r="C11" s="30">
        <v>18030</v>
      </c>
      <c r="D11" s="78">
        <f t="shared" si="0"/>
        <v>3.1169817244256232E-3</v>
      </c>
      <c r="E11" s="36">
        <v>20535</v>
      </c>
      <c r="F11" s="78">
        <f t="shared" si="1"/>
        <v>3.5201435004882944E-3</v>
      </c>
      <c r="H11" s="89">
        <f>+'COEF Art 14 F I'!AF11</f>
        <v>5.1255376840912215E-3</v>
      </c>
      <c r="I11" s="160"/>
      <c r="J11" s="36">
        <f t="shared" si="2"/>
        <v>357928.8391430151</v>
      </c>
      <c r="K11" s="37">
        <f t="shared" si="3"/>
        <v>404224.65966776945</v>
      </c>
      <c r="L11" s="37">
        <f t="shared" si="4"/>
        <v>504492.92170991731</v>
      </c>
      <c r="M11" s="37">
        <f t="shared" si="5"/>
        <v>1266646.4205207019</v>
      </c>
      <c r="N11" s="90">
        <f t="shared" si="6"/>
        <v>3.8606600000000001E-3</v>
      </c>
    </row>
    <row r="12" spans="1:14">
      <c r="A12" s="246">
        <v>17</v>
      </c>
      <c r="B12" s="4" t="s">
        <v>4</v>
      </c>
      <c r="C12" s="30">
        <v>656464</v>
      </c>
      <c r="D12" s="78">
        <f t="shared" si="0"/>
        <v>0.11348786970290306</v>
      </c>
      <c r="E12" s="36">
        <v>693045</v>
      </c>
      <c r="F12" s="78">
        <f t="shared" si="1"/>
        <v>0.11880291464796251</v>
      </c>
      <c r="H12" s="89">
        <f>+'COEF Art 14 F I'!AF12</f>
        <v>7.9697485048117064E-2</v>
      </c>
      <c r="I12" s="160"/>
      <c r="J12" s="36">
        <f t="shared" si="2"/>
        <v>13032024.262849707</v>
      </c>
      <c r="K12" s="37">
        <f t="shared" si="3"/>
        <v>13642360.811270967</v>
      </c>
      <c r="L12" s="37">
        <f t="shared" si="4"/>
        <v>7844409.6137761315</v>
      </c>
      <c r="M12" s="37">
        <f t="shared" si="5"/>
        <v>34518794.687896803</v>
      </c>
      <c r="N12" s="90">
        <f t="shared" si="6"/>
        <v>0.10521102</v>
      </c>
    </row>
    <row r="13" spans="1:14">
      <c r="A13" s="246">
        <v>16</v>
      </c>
      <c r="B13" s="4" t="s">
        <v>5</v>
      </c>
      <c r="C13" s="30">
        <v>14992</v>
      </c>
      <c r="D13" s="78">
        <f t="shared" si="0"/>
        <v>2.5917798121236242E-3</v>
      </c>
      <c r="E13" s="36">
        <v>18574</v>
      </c>
      <c r="F13" s="78">
        <f t="shared" si="1"/>
        <v>3.183985652693917E-3</v>
      </c>
      <c r="H13" s="89">
        <f>+'COEF Art 14 F I'!AF13</f>
        <v>4.6443525932259233E-3</v>
      </c>
      <c r="I13" s="160"/>
      <c r="J13" s="36">
        <f t="shared" si="2"/>
        <v>297618.92159911717</v>
      </c>
      <c r="K13" s="37">
        <f t="shared" si="3"/>
        <v>365623.02550129779</v>
      </c>
      <c r="L13" s="37">
        <f t="shared" si="4"/>
        <v>457131.16430301068</v>
      </c>
      <c r="M13" s="37">
        <f t="shared" si="5"/>
        <v>1120373.1114034257</v>
      </c>
      <c r="N13" s="90">
        <f t="shared" si="6"/>
        <v>3.4148199999999998E-3</v>
      </c>
    </row>
    <row r="14" spans="1:14">
      <c r="A14" s="246">
        <v>18</v>
      </c>
      <c r="B14" s="4" t="s">
        <v>6</v>
      </c>
      <c r="C14" s="30">
        <v>3661</v>
      </c>
      <c r="D14" s="78">
        <f t="shared" si="0"/>
        <v>6.329046086035611E-4</v>
      </c>
      <c r="E14" s="36">
        <v>4569</v>
      </c>
      <c r="F14" s="78">
        <f t="shared" si="1"/>
        <v>7.8322550054692078E-4</v>
      </c>
      <c r="H14" s="89">
        <f>+'COEF Art 14 F I'!AF14</f>
        <v>1.6810196985090997E-3</v>
      </c>
      <c r="I14" s="160"/>
      <c r="J14" s="36">
        <f t="shared" si="2"/>
        <v>72677.619528706506</v>
      </c>
      <c r="K14" s="37">
        <f t="shared" si="3"/>
        <v>89939.248601024534</v>
      </c>
      <c r="L14" s="37">
        <f t="shared" si="4"/>
        <v>165458.25851305685</v>
      </c>
      <c r="M14" s="37">
        <f t="shared" si="5"/>
        <v>328075.12664278789</v>
      </c>
      <c r="N14" s="90">
        <f t="shared" si="6"/>
        <v>9.999500000000001E-4</v>
      </c>
    </row>
    <row r="15" spans="1:14">
      <c r="A15" s="246">
        <v>19</v>
      </c>
      <c r="B15" s="4" t="s">
        <v>130</v>
      </c>
      <c r="C15" s="30">
        <v>122337</v>
      </c>
      <c r="D15" s="78">
        <f t="shared" si="0"/>
        <v>2.1149317427679282E-2</v>
      </c>
      <c r="E15" s="36">
        <v>109207</v>
      </c>
      <c r="F15" s="78">
        <f t="shared" si="1"/>
        <v>1.8720443694074759E-2</v>
      </c>
      <c r="H15" s="89">
        <f>+'COEF Art 14 F I'!AF15</f>
        <v>1.246003061623739E-2</v>
      </c>
      <c r="I15" s="160"/>
      <c r="J15" s="36">
        <f t="shared" si="2"/>
        <v>2428615.6624647272</v>
      </c>
      <c r="K15" s="37">
        <f t="shared" si="3"/>
        <v>2149703.5504425666</v>
      </c>
      <c r="L15" s="37">
        <f t="shared" si="4"/>
        <v>1226407.3815496988</v>
      </c>
      <c r="M15" s="37">
        <f t="shared" si="5"/>
        <v>5804726.594456993</v>
      </c>
      <c r="N15" s="90">
        <f t="shared" si="6"/>
        <v>1.7692429999999999E-2</v>
      </c>
    </row>
    <row r="16" spans="1:14">
      <c r="A16" s="246">
        <v>20</v>
      </c>
      <c r="B16" s="4" t="s">
        <v>131</v>
      </c>
      <c r="C16" s="30">
        <v>104478</v>
      </c>
      <c r="D16" s="78">
        <f t="shared" si="0"/>
        <v>1.8061897759541888E-2</v>
      </c>
      <c r="E16" s="36">
        <v>50848</v>
      </c>
      <c r="F16" s="78">
        <f t="shared" si="1"/>
        <v>8.7164478555066382E-3</v>
      </c>
      <c r="H16" s="89">
        <f>+'COEF Art 14 F I'!AF16</f>
        <v>9.8713523775840212E-3</v>
      </c>
      <c r="I16" s="160"/>
      <c r="J16" s="36">
        <f t="shared" si="2"/>
        <v>2074081.4895165793</v>
      </c>
      <c r="K16" s="37">
        <f t="shared" si="3"/>
        <v>1000926.0041288894</v>
      </c>
      <c r="L16" s="37">
        <f t="shared" si="4"/>
        <v>971610.72830517695</v>
      </c>
      <c r="M16" s="37">
        <f t="shared" si="5"/>
        <v>4046618.2219506456</v>
      </c>
      <c r="N16" s="90">
        <f t="shared" si="6"/>
        <v>1.233383E-2</v>
      </c>
    </row>
    <row r="17" spans="1:14">
      <c r="A17" s="246">
        <v>23</v>
      </c>
      <c r="B17" s="4" t="s">
        <v>132</v>
      </c>
      <c r="C17" s="30">
        <v>7340</v>
      </c>
      <c r="D17" s="78">
        <f t="shared" si="0"/>
        <v>1.2689210126058832E-3</v>
      </c>
      <c r="E17" s="36">
        <v>8473</v>
      </c>
      <c r="F17" s="78">
        <f t="shared" si="1"/>
        <v>1.4524556065077829E-3</v>
      </c>
      <c r="H17" s="89">
        <f>+'COEF Art 14 F I'!AF17</f>
        <v>3.5345083340763794E-3</v>
      </c>
      <c r="I17" s="160"/>
      <c r="J17" s="36">
        <f t="shared" si="2"/>
        <v>145712.57234108323</v>
      </c>
      <c r="K17" s="37">
        <f t="shared" si="3"/>
        <v>166788.19290796254</v>
      </c>
      <c r="L17" s="37">
        <f t="shared" si="4"/>
        <v>347892.1717424466</v>
      </c>
      <c r="M17" s="37">
        <f t="shared" si="5"/>
        <v>660392.9369914924</v>
      </c>
      <c r="N17" s="90">
        <f t="shared" si="6"/>
        <v>2.0128300000000002E-3</v>
      </c>
    </row>
    <row r="18" spans="1:14">
      <c r="A18" s="246">
        <v>21</v>
      </c>
      <c r="B18" s="4" t="s">
        <v>7</v>
      </c>
      <c r="C18" s="30">
        <v>9930</v>
      </c>
      <c r="D18" s="78">
        <f t="shared" si="0"/>
        <v>1.7166737949831634E-3</v>
      </c>
      <c r="E18" s="36">
        <v>12403</v>
      </c>
      <c r="F18" s="78">
        <f t="shared" si="1"/>
        <v>2.1261426752644907E-3</v>
      </c>
      <c r="H18" s="89">
        <f>+'COEF Art 14 F I'!AF18</f>
        <v>4.5385856104996278E-3</v>
      </c>
      <c r="I18" s="160"/>
      <c r="J18" s="36">
        <f t="shared" si="2"/>
        <v>197128.86149141096</v>
      </c>
      <c r="K18" s="37">
        <f t="shared" si="3"/>
        <v>244148.93858579718</v>
      </c>
      <c r="L18" s="37">
        <f t="shared" si="4"/>
        <v>446720.80398088344</v>
      </c>
      <c r="M18" s="37">
        <f t="shared" si="5"/>
        <v>887998.60405809153</v>
      </c>
      <c r="N18" s="90">
        <f t="shared" si="6"/>
        <v>2.7065600000000002E-3</v>
      </c>
    </row>
    <row r="19" spans="1:14">
      <c r="A19" s="246">
        <v>22</v>
      </c>
      <c r="B19" s="4" t="s">
        <v>133</v>
      </c>
      <c r="C19" s="30">
        <v>68747</v>
      </c>
      <c r="D19" s="78">
        <f t="shared" si="0"/>
        <v>1.1884811015479108E-2</v>
      </c>
      <c r="E19" s="36">
        <v>53927</v>
      </c>
      <c r="F19" s="78">
        <f t="shared" si="1"/>
        <v>9.2442551035223884E-3</v>
      </c>
      <c r="H19" s="89">
        <f>+'COEF Art 14 F I'!AF19</f>
        <v>6.8661777976986279E-3</v>
      </c>
      <c r="I19" s="160"/>
      <c r="J19" s="36">
        <f t="shared" si="2"/>
        <v>1364755.0695820774</v>
      </c>
      <c r="K19" s="37">
        <f t="shared" si="3"/>
        <v>1061535.0972439153</v>
      </c>
      <c r="L19" s="37">
        <f t="shared" si="4"/>
        <v>675819.45771117997</v>
      </c>
      <c r="M19" s="37">
        <f t="shared" si="5"/>
        <v>3102109.6245371727</v>
      </c>
      <c r="N19" s="90">
        <f t="shared" si="6"/>
        <v>9.4550299999999997E-3</v>
      </c>
    </row>
    <row r="20" spans="1:14">
      <c r="A20" s="246">
        <v>25</v>
      </c>
      <c r="B20" s="4" t="s">
        <v>8</v>
      </c>
      <c r="C20" s="30">
        <v>36088</v>
      </c>
      <c r="D20" s="78">
        <f t="shared" si="0"/>
        <v>6.2388040194715413E-3</v>
      </c>
      <c r="E20" s="36">
        <v>39252</v>
      </c>
      <c r="F20" s="78">
        <f t="shared" si="1"/>
        <v>6.7286424485593641E-3</v>
      </c>
      <c r="H20" s="89">
        <f>+'COEF Art 14 F I'!AF20</f>
        <v>1.0324777742185987E-2</v>
      </c>
      <c r="I20" s="160"/>
      <c r="J20" s="36">
        <f t="shared" si="2"/>
        <v>716413.53006062831</v>
      </c>
      <c r="K20" s="37">
        <f t="shared" si="3"/>
        <v>772662.59270899871</v>
      </c>
      <c r="L20" s="37">
        <f t="shared" si="4"/>
        <v>1016240.1703392157</v>
      </c>
      <c r="M20" s="37">
        <f t="shared" si="5"/>
        <v>2505316.2931088428</v>
      </c>
      <c r="N20" s="90">
        <f t="shared" si="6"/>
        <v>7.6360400000000002E-3</v>
      </c>
    </row>
    <row r="21" spans="1:14">
      <c r="A21" s="246">
        <v>27</v>
      </c>
      <c r="B21" s="4" t="s">
        <v>9</v>
      </c>
      <c r="C21" s="30">
        <v>1360</v>
      </c>
      <c r="D21" s="78">
        <f t="shared" si="0"/>
        <v>2.351134301286105E-4</v>
      </c>
      <c r="E21" s="36">
        <v>1947</v>
      </c>
      <c r="F21" s="78">
        <f t="shared" si="1"/>
        <v>3.3375794475046065E-4</v>
      </c>
      <c r="H21" s="89">
        <f>+'COEF Art 14 F I'!AF21</f>
        <v>1.4836008516257309E-3</v>
      </c>
      <c r="I21" s="160"/>
      <c r="J21" s="36">
        <f t="shared" si="2"/>
        <v>26998.514766195258</v>
      </c>
      <c r="K21" s="37">
        <f t="shared" si="3"/>
        <v>38326.048812911962</v>
      </c>
      <c r="L21" s="37">
        <f t="shared" si="4"/>
        <v>146026.85111673168</v>
      </c>
      <c r="M21" s="37">
        <f t="shared" si="5"/>
        <v>211351.4146958389</v>
      </c>
      <c r="N21" s="90">
        <f t="shared" si="6"/>
        <v>6.4419E-4</v>
      </c>
    </row>
    <row r="22" spans="1:14">
      <c r="A22" s="246">
        <v>26</v>
      </c>
      <c r="B22" s="4" t="s">
        <v>134</v>
      </c>
      <c r="C22" s="30">
        <v>3256</v>
      </c>
      <c r="D22" s="78">
        <f t="shared" si="0"/>
        <v>5.6288921213143808E-4</v>
      </c>
      <c r="E22" s="36">
        <v>3379</v>
      </c>
      <c r="F22" s="78">
        <f t="shared" si="1"/>
        <v>5.792337418139736E-4</v>
      </c>
      <c r="H22" s="89">
        <f>+'COEF Art 14 F I'!AF22</f>
        <v>9.9519678968755239E-4</v>
      </c>
      <c r="I22" s="160"/>
      <c r="J22" s="36">
        <f t="shared" si="2"/>
        <v>64637.620646126292</v>
      </c>
      <c r="K22" s="37">
        <f t="shared" si="3"/>
        <v>66514.493548448649</v>
      </c>
      <c r="L22" s="37">
        <f t="shared" si="4"/>
        <v>97954.549756631517</v>
      </c>
      <c r="M22" s="37">
        <f t="shared" si="5"/>
        <v>229106.66395120646</v>
      </c>
      <c r="N22" s="90">
        <f t="shared" si="6"/>
        <v>6.9830000000000001E-4</v>
      </c>
    </row>
    <row r="23" spans="1:14">
      <c r="A23" s="246">
        <v>29</v>
      </c>
      <c r="B23" s="4" t="s">
        <v>10</v>
      </c>
      <c r="C23" s="30">
        <v>40903</v>
      </c>
      <c r="D23" s="78">
        <f t="shared" si="0"/>
        <v>7.0712092886401146E-3</v>
      </c>
      <c r="E23" s="36">
        <v>46672</v>
      </c>
      <c r="F23" s="78">
        <f t="shared" si="1"/>
        <v>8.0005910618353871E-3</v>
      </c>
      <c r="H23" s="89">
        <f>+'COEF Art 14 F I'!AF23</f>
        <v>9.6422976020216107E-3</v>
      </c>
      <c r="I23" s="160"/>
      <c r="J23" s="36">
        <f t="shared" si="2"/>
        <v>812000.1834424152</v>
      </c>
      <c r="K23" s="37">
        <f t="shared" si="3"/>
        <v>918722.83009564818</v>
      </c>
      <c r="L23" s="37">
        <f t="shared" si="4"/>
        <v>949065.48133259942</v>
      </c>
      <c r="M23" s="37">
        <f t="shared" si="5"/>
        <v>2679788.4948706627</v>
      </c>
      <c r="N23" s="90">
        <f t="shared" si="6"/>
        <v>8.1678199999999992E-3</v>
      </c>
    </row>
    <row r="24" spans="1:14">
      <c r="A24" s="246">
        <v>30</v>
      </c>
      <c r="B24" s="4" t="s">
        <v>135</v>
      </c>
      <c r="C24" s="30">
        <v>397205</v>
      </c>
      <c r="D24" s="78">
        <f t="shared" si="0"/>
        <v>6.8667816186937305E-2</v>
      </c>
      <c r="E24" s="36">
        <v>322969</v>
      </c>
      <c r="F24" s="78">
        <f t="shared" si="1"/>
        <v>5.5363877585059847E-2</v>
      </c>
      <c r="H24" s="89">
        <f>+'COEF Art 14 F I'!AF24</f>
        <v>3.6731420766811178E-2</v>
      </c>
      <c r="I24" s="160"/>
      <c r="J24" s="36">
        <f t="shared" si="2"/>
        <v>7885253.7189019024</v>
      </c>
      <c r="K24" s="37">
        <f t="shared" si="3"/>
        <v>6357537.5752734272</v>
      </c>
      <c r="L24" s="37">
        <f t="shared" si="4"/>
        <v>3615375.1905329083</v>
      </c>
      <c r="M24" s="37">
        <f t="shared" si="5"/>
        <v>17858166.484708238</v>
      </c>
      <c r="N24" s="90">
        <f t="shared" si="6"/>
        <v>5.4430520000000003E-2</v>
      </c>
    </row>
    <row r="25" spans="1:14">
      <c r="A25" s="246">
        <v>32</v>
      </c>
      <c r="B25" s="4" t="s">
        <v>11</v>
      </c>
      <c r="C25" s="30">
        <v>5506</v>
      </c>
      <c r="D25" s="78">
        <f t="shared" si="0"/>
        <v>9.5186363697656574E-4</v>
      </c>
      <c r="E25" s="36">
        <v>6390</v>
      </c>
      <c r="F25" s="78">
        <f t="shared" si="1"/>
        <v>1.0953843179021283E-3</v>
      </c>
      <c r="H25" s="89">
        <f>+'COEF Art 14 F I'!AF25</f>
        <v>2.7415506614275283E-3</v>
      </c>
      <c r="I25" s="160"/>
      <c r="J25" s="36">
        <f t="shared" si="2"/>
        <v>109304.28110490521</v>
      </c>
      <c r="K25" s="37">
        <f t="shared" si="3"/>
        <v>125785.02923189905</v>
      </c>
      <c r="L25" s="37">
        <f t="shared" si="4"/>
        <v>269843.47564006993</v>
      </c>
      <c r="M25" s="37">
        <f t="shared" si="5"/>
        <v>504932.78597687418</v>
      </c>
      <c r="N25" s="90">
        <f t="shared" si="6"/>
        <v>1.539E-3</v>
      </c>
    </row>
    <row r="26" spans="1:14">
      <c r="A26" s="246">
        <v>33</v>
      </c>
      <c r="B26" s="4" t="s">
        <v>12</v>
      </c>
      <c r="C26" s="30">
        <v>481213</v>
      </c>
      <c r="D26" s="78">
        <f t="shared" si="0"/>
        <v>8.3190911067999293E-2</v>
      </c>
      <c r="E26" s="36">
        <v>483816</v>
      </c>
      <c r="F26" s="78">
        <f t="shared" si="1"/>
        <v>8.293653507826855E-2</v>
      </c>
      <c r="H26" s="89">
        <f>+'COEF Art 14 F I'!AF26</f>
        <v>5.3365969832242788E-2</v>
      </c>
      <c r="I26" s="160"/>
      <c r="J26" s="36">
        <f t="shared" si="2"/>
        <v>9552967.8574890569</v>
      </c>
      <c r="K26" s="37">
        <f t="shared" si="3"/>
        <v>9523757.3869891185</v>
      </c>
      <c r="L26" s="37">
        <f t="shared" si="4"/>
        <v>5252669.2222193629</v>
      </c>
      <c r="M26" s="37">
        <f t="shared" si="5"/>
        <v>24329394.466697536</v>
      </c>
      <c r="N26" s="90">
        <f t="shared" si="6"/>
        <v>7.4154399999999995E-2</v>
      </c>
    </row>
    <row r="27" spans="1:14">
      <c r="A27" s="246">
        <v>34</v>
      </c>
      <c r="B27" s="4" t="s">
        <v>136</v>
      </c>
      <c r="C27" s="30">
        <v>14109</v>
      </c>
      <c r="D27" s="78">
        <f t="shared" si="0"/>
        <v>2.4391289600621804E-3</v>
      </c>
      <c r="E27" s="36">
        <v>16970</v>
      </c>
      <c r="F27" s="78">
        <f t="shared" si="1"/>
        <v>2.9090253325194234E-3</v>
      </c>
      <c r="H27" s="89">
        <f>+'COEF Art 14 F I'!AF27</f>
        <v>4.3267656355395843E-3</v>
      </c>
      <c r="I27" s="160"/>
      <c r="J27" s="36">
        <f t="shared" si="2"/>
        <v>280089.73885018297</v>
      </c>
      <c r="K27" s="37">
        <f t="shared" si="3"/>
        <v>334048.81785059889</v>
      </c>
      <c r="L27" s="37">
        <f t="shared" si="4"/>
        <v>425871.93218821398</v>
      </c>
      <c r="M27" s="37">
        <f t="shared" si="5"/>
        <v>1040010.488888996</v>
      </c>
      <c r="N27" s="90">
        <f t="shared" si="6"/>
        <v>3.1698799999999999E-3</v>
      </c>
    </row>
    <row r="28" spans="1:14">
      <c r="A28" s="246">
        <v>35</v>
      </c>
      <c r="B28" s="4" t="s">
        <v>13</v>
      </c>
      <c r="C28" s="30">
        <v>1808</v>
      </c>
      <c r="D28" s="78">
        <f t="shared" si="0"/>
        <v>3.1256256005332924E-4</v>
      </c>
      <c r="E28" s="36">
        <v>1223</v>
      </c>
      <c r="F28" s="78">
        <f t="shared" si="1"/>
        <v>2.096486730507516E-4</v>
      </c>
      <c r="H28" s="89">
        <f>+'COEF Art 14 F I'!AF28</f>
        <v>8.7542938368993101E-4</v>
      </c>
      <c r="I28" s="160"/>
      <c r="J28" s="36">
        <f t="shared" si="2"/>
        <v>35892.143159765459</v>
      </c>
      <c r="K28" s="37">
        <f t="shared" si="3"/>
        <v>24074.349100252351</v>
      </c>
      <c r="L28" s="37">
        <f t="shared" si="4"/>
        <v>86166.165337003375</v>
      </c>
      <c r="M28" s="37">
        <f t="shared" si="5"/>
        <v>146132.6575970212</v>
      </c>
      <c r="N28" s="90">
        <f t="shared" si="6"/>
        <v>4.4539999999999998E-4</v>
      </c>
    </row>
    <row r="29" spans="1:14">
      <c r="A29" s="246">
        <v>61</v>
      </c>
      <c r="B29" s="4" t="s">
        <v>14</v>
      </c>
      <c r="C29" s="30">
        <v>6282</v>
      </c>
      <c r="D29" s="78">
        <f t="shared" si="0"/>
        <v>1.0860165941675964E-3</v>
      </c>
      <c r="E29" s="36">
        <v>6836</v>
      </c>
      <c r="F29" s="78">
        <f t="shared" si="1"/>
        <v>1.171838372015485E-3</v>
      </c>
      <c r="H29" s="89">
        <f>+'COEF Art 14 F I'!AF29</f>
        <v>2.5047231202144134E-3</v>
      </c>
      <c r="I29" s="160"/>
      <c r="J29" s="36">
        <f t="shared" si="2"/>
        <v>124709.31600091072</v>
      </c>
      <c r="K29" s="37">
        <f t="shared" si="3"/>
        <v>134564.39120958716</v>
      </c>
      <c r="L29" s="37">
        <f t="shared" si="4"/>
        <v>246533.17619991198</v>
      </c>
      <c r="M29" s="37">
        <f t="shared" si="5"/>
        <v>505806.88341040985</v>
      </c>
      <c r="N29" s="90">
        <f t="shared" si="6"/>
        <v>1.54167E-3</v>
      </c>
    </row>
    <row r="30" spans="1:14">
      <c r="A30" s="246">
        <v>36</v>
      </c>
      <c r="B30" s="4" t="s">
        <v>15</v>
      </c>
      <c r="C30" s="30">
        <v>102149</v>
      </c>
      <c r="D30" s="78">
        <f t="shared" si="0"/>
        <v>1.7659266010446643E-2</v>
      </c>
      <c r="E30" s="36">
        <v>98532</v>
      </c>
      <c r="F30" s="78">
        <f t="shared" si="1"/>
        <v>1.6890517623088026E-2</v>
      </c>
      <c r="H30" s="89">
        <f>+'COEF Art 14 F I'!AF30</f>
        <v>9.3655215024216424E-3</v>
      </c>
      <c r="I30" s="160"/>
      <c r="J30" s="36">
        <f t="shared" si="2"/>
        <v>2027846.5329794702</v>
      </c>
      <c r="K30" s="37">
        <f t="shared" si="3"/>
        <v>1939569.7183532827</v>
      </c>
      <c r="L30" s="37">
        <f t="shared" si="4"/>
        <v>921823.1524779984</v>
      </c>
      <c r="M30" s="37">
        <f t="shared" si="5"/>
        <v>4889239.4038107516</v>
      </c>
      <c r="N30" s="90">
        <f t="shared" si="6"/>
        <v>1.490208E-2</v>
      </c>
    </row>
    <row r="31" spans="1:14">
      <c r="A31" s="246">
        <v>28</v>
      </c>
      <c r="B31" s="4" t="s">
        <v>16</v>
      </c>
      <c r="C31" s="30">
        <v>643143</v>
      </c>
      <c r="D31" s="78">
        <f t="shared" si="0"/>
        <v>0.11118496823029775</v>
      </c>
      <c r="E31" s="36">
        <v>728541</v>
      </c>
      <c r="F31" s="78">
        <f t="shared" si="1"/>
        <v>0.12488769739416813</v>
      </c>
      <c r="H31" s="89">
        <f>+'COEF Art 14 F I'!AF31</f>
        <v>9.2350515137755163E-2</v>
      </c>
      <c r="I31" s="160"/>
      <c r="J31" s="36">
        <f t="shared" si="2"/>
        <v>12767577.781084644</v>
      </c>
      <c r="K31" s="37">
        <f t="shared" si="3"/>
        <v>14341087.790553516</v>
      </c>
      <c r="L31" s="37">
        <f t="shared" si="4"/>
        <v>9089813.4156480543</v>
      </c>
      <c r="M31" s="37">
        <f t="shared" si="5"/>
        <v>36198478.98728621</v>
      </c>
      <c r="N31" s="90">
        <f t="shared" si="6"/>
        <v>0.11033059000000001</v>
      </c>
    </row>
    <row r="32" spans="1:14">
      <c r="A32" s="246">
        <v>37</v>
      </c>
      <c r="B32" s="4" t="s">
        <v>137</v>
      </c>
      <c r="C32" s="30">
        <v>1959</v>
      </c>
      <c r="D32" s="78">
        <f t="shared" si="0"/>
        <v>3.3866706589849116E-4</v>
      </c>
      <c r="E32" s="36">
        <v>2091</v>
      </c>
      <c r="F32" s="78">
        <f t="shared" si="1"/>
        <v>3.5844266177360721E-4</v>
      </c>
      <c r="H32" s="89">
        <f>+'COEF Art 14 F I'!AF32</f>
        <v>9.0429104369840329E-4</v>
      </c>
      <c r="I32" s="160"/>
      <c r="J32" s="36">
        <f t="shared" si="2"/>
        <v>38889.772372776846</v>
      </c>
      <c r="K32" s="37">
        <f t="shared" si="3"/>
        <v>41160.641020954761</v>
      </c>
      <c r="L32" s="37">
        <f t="shared" si="4"/>
        <v>89006.941091762856</v>
      </c>
      <c r="M32" s="37">
        <f t="shared" si="5"/>
        <v>169057.35448549446</v>
      </c>
      <c r="N32" s="90">
        <f t="shared" si="6"/>
        <v>5.1528000000000001E-4</v>
      </c>
    </row>
    <row r="33" spans="1:14">
      <c r="A33" s="246">
        <v>39</v>
      </c>
      <c r="B33" s="4" t="s">
        <v>17</v>
      </c>
      <c r="C33" s="30">
        <v>16086</v>
      </c>
      <c r="D33" s="78">
        <f t="shared" si="0"/>
        <v>2.7809078213594327E-3</v>
      </c>
      <c r="E33" s="36">
        <v>16142</v>
      </c>
      <c r="F33" s="78">
        <f t="shared" si="1"/>
        <v>2.7670882096363309E-3</v>
      </c>
      <c r="H33" s="89">
        <f>+'COEF Art 14 F I'!AF33</f>
        <v>1.7314678448014272E-3</v>
      </c>
      <c r="I33" s="160"/>
      <c r="J33" s="36">
        <f t="shared" si="2"/>
        <v>319336.84450663009</v>
      </c>
      <c r="K33" s="37">
        <f t="shared" si="3"/>
        <v>317749.91265435284</v>
      </c>
      <c r="L33" s="37">
        <f t="shared" si="4"/>
        <v>170423.7341931714</v>
      </c>
      <c r="M33" s="37">
        <f t="shared" si="5"/>
        <v>807510.49135415431</v>
      </c>
      <c r="N33" s="90">
        <f t="shared" si="6"/>
        <v>2.46124E-3</v>
      </c>
    </row>
    <row r="34" spans="1:14">
      <c r="A34" s="246">
        <v>38</v>
      </c>
      <c r="B34" s="4" t="s">
        <v>18</v>
      </c>
      <c r="C34" s="30">
        <v>1386</v>
      </c>
      <c r="D34" s="78">
        <f t="shared" si="0"/>
        <v>2.3960824570459864E-4</v>
      </c>
      <c r="E34" s="36">
        <v>1770</v>
      </c>
      <c r="F34" s="78">
        <f t="shared" si="1"/>
        <v>3.034163134095097E-4</v>
      </c>
      <c r="H34" s="89">
        <f>+'COEF Art 14 F I'!AF34</f>
        <v>1.2747311314427398E-3</v>
      </c>
      <c r="I34" s="160"/>
      <c r="J34" s="36">
        <f t="shared" si="2"/>
        <v>27514.662842607813</v>
      </c>
      <c r="K34" s="37">
        <f t="shared" si="3"/>
        <v>34841.862557192697</v>
      </c>
      <c r="L34" s="37">
        <f t="shared" si="4"/>
        <v>125468.36498582088</v>
      </c>
      <c r="M34" s="37">
        <f t="shared" si="5"/>
        <v>187824.8903856214</v>
      </c>
      <c r="N34" s="90">
        <f t="shared" si="6"/>
        <v>5.7247999999999999E-4</v>
      </c>
    </row>
    <row r="35" spans="1:14">
      <c r="A35" s="246">
        <v>40</v>
      </c>
      <c r="B35" s="4" t="s">
        <v>19</v>
      </c>
      <c r="C35" s="30">
        <v>7026</v>
      </c>
      <c r="D35" s="78">
        <f t="shared" si="0"/>
        <v>1.2146374706497186E-3</v>
      </c>
      <c r="E35" s="36">
        <v>8045</v>
      </c>
      <c r="F35" s="78">
        <f t="shared" si="1"/>
        <v>1.3790871420223194E-3</v>
      </c>
      <c r="H35" s="89">
        <f>+'COEF Art 14 F I'!AF35</f>
        <v>1.5112982189291839E-3</v>
      </c>
      <c r="I35" s="160"/>
      <c r="J35" s="36">
        <f t="shared" si="2"/>
        <v>139479.09172594696</v>
      </c>
      <c r="K35" s="37">
        <f t="shared" si="3"/>
        <v>158363.15495627979</v>
      </c>
      <c r="L35" s="37">
        <f t="shared" si="4"/>
        <v>148753.02866449647</v>
      </c>
      <c r="M35" s="37">
        <f t="shared" si="5"/>
        <v>446595.27534672327</v>
      </c>
      <c r="N35" s="90">
        <f t="shared" si="6"/>
        <v>1.36119E-3</v>
      </c>
    </row>
    <row r="36" spans="1:14">
      <c r="A36" s="246">
        <v>41</v>
      </c>
      <c r="B36" s="4" t="s">
        <v>20</v>
      </c>
      <c r="C36" s="30">
        <v>3298</v>
      </c>
      <c r="D36" s="78">
        <f t="shared" si="0"/>
        <v>5.7015006806188052E-4</v>
      </c>
      <c r="E36" s="36">
        <v>4129</v>
      </c>
      <c r="F36" s="78">
        <f t="shared" si="1"/>
        <v>7.0779997630952851E-4</v>
      </c>
      <c r="H36" s="89">
        <f>+'COEF Art 14 F I'!AF36</f>
        <v>1.59218517099653E-3</v>
      </c>
      <c r="I36" s="160"/>
      <c r="J36" s="36">
        <f t="shared" si="2"/>
        <v>65471.398308023505</v>
      </c>
      <c r="K36" s="37">
        <f t="shared" si="3"/>
        <v>81277.994632004877</v>
      </c>
      <c r="L36" s="37">
        <f t="shared" si="4"/>
        <v>156714.51432546877</v>
      </c>
      <c r="M36" s="37">
        <f t="shared" si="5"/>
        <v>303463.90726549714</v>
      </c>
      <c r="N36" s="90">
        <f t="shared" si="6"/>
        <v>9.2493999999999996E-4</v>
      </c>
    </row>
    <row r="37" spans="1:14">
      <c r="A37" s="246">
        <v>42</v>
      </c>
      <c r="B37" s="4" t="s">
        <v>138</v>
      </c>
      <c r="C37" s="30">
        <v>471523</v>
      </c>
      <c r="D37" s="78">
        <f t="shared" si="0"/>
        <v>8.1515727878332944E-2</v>
      </c>
      <c r="E37" s="36">
        <v>421798</v>
      </c>
      <c r="F37" s="78">
        <f t="shared" si="1"/>
        <v>7.2305307437008109E-2</v>
      </c>
      <c r="H37" s="89">
        <f>+'COEF Art 14 F I'!AF37</f>
        <v>4.5972942114415424E-2</v>
      </c>
      <c r="I37" s="160"/>
      <c r="J37" s="36">
        <f t="shared" si="2"/>
        <v>9360603.4397799149</v>
      </c>
      <c r="K37" s="37">
        <f t="shared" si="3"/>
        <v>8302953.640055798</v>
      </c>
      <c r="L37" s="37">
        <f t="shared" si="4"/>
        <v>4524993.3404820058</v>
      </c>
      <c r="M37" s="37">
        <f t="shared" si="5"/>
        <v>22188550.420317717</v>
      </c>
      <c r="N37" s="90">
        <f t="shared" si="6"/>
        <v>6.7629239999999993E-2</v>
      </c>
    </row>
    <row r="38" spans="1:14">
      <c r="A38" s="246">
        <v>43</v>
      </c>
      <c r="B38" s="4" t="s">
        <v>21</v>
      </c>
      <c r="C38" s="30">
        <v>5351</v>
      </c>
      <c r="D38" s="78">
        <f t="shared" si="0"/>
        <v>9.2506762104279034E-4</v>
      </c>
      <c r="E38" s="36">
        <v>6019</v>
      </c>
      <c r="F38" s="78">
        <f t="shared" si="1"/>
        <v>1.0317868872383269E-3</v>
      </c>
      <c r="H38" s="89">
        <f>+'COEF Art 14 F I'!AF38</f>
        <v>3.9987960604773694E-3</v>
      </c>
      <c r="I38" s="160"/>
      <c r="J38" s="36">
        <f t="shared" si="2"/>
        <v>106227.24449552267</v>
      </c>
      <c r="K38" s="37">
        <f t="shared" si="3"/>
        <v>118482.01736256656</v>
      </c>
      <c r="L38" s="37">
        <f t="shared" si="4"/>
        <v>393590.7669031258</v>
      </c>
      <c r="M38" s="37">
        <f t="shared" si="5"/>
        <v>618300.02876121504</v>
      </c>
      <c r="N38" s="90">
        <f t="shared" si="6"/>
        <v>1.8845400000000001E-3</v>
      </c>
    </row>
    <row r="39" spans="1:14">
      <c r="A39" s="246">
        <v>44</v>
      </c>
      <c r="B39" s="4" t="s">
        <v>22</v>
      </c>
      <c r="C39" s="30">
        <v>84666</v>
      </c>
      <c r="D39" s="78">
        <f t="shared" si="0"/>
        <v>1.4636848290638924E-2</v>
      </c>
      <c r="E39" s="36">
        <v>91980</v>
      </c>
      <c r="F39" s="78">
        <f t="shared" si="1"/>
        <v>1.5767362998534859E-2</v>
      </c>
      <c r="H39" s="89">
        <f>+'COEF Art 14 F I'!AF39</f>
        <v>1.0255714095069984E-2</v>
      </c>
      <c r="I39" s="160"/>
      <c r="J39" s="36">
        <f t="shared" ref="J39:J57" si="7">+D39*J$5</f>
        <v>1680776.6552902113</v>
      </c>
      <c r="K39" s="37">
        <f t="shared" ref="K39:K57" si="8">+F39*K$5</f>
        <v>1810595.7728873356</v>
      </c>
      <c r="L39" s="37">
        <f t="shared" ref="L39:L57" si="9">+H39*L$5</f>
        <v>1009442.4208610216</v>
      </c>
      <c r="M39" s="37">
        <f t="shared" si="5"/>
        <v>4500814.8490385683</v>
      </c>
      <c r="N39" s="90">
        <f t="shared" si="6"/>
        <v>1.371819E-2</v>
      </c>
    </row>
    <row r="40" spans="1:14">
      <c r="A40" s="246">
        <v>46</v>
      </c>
      <c r="B40" s="4" t="s">
        <v>139</v>
      </c>
      <c r="C40" s="30">
        <v>5119</v>
      </c>
      <c r="D40" s="78">
        <f t="shared" si="0"/>
        <v>8.8496003590320376E-4</v>
      </c>
      <c r="E40" s="36">
        <v>6354</v>
      </c>
      <c r="F40" s="78">
        <f t="shared" si="1"/>
        <v>1.0892131386463415E-3</v>
      </c>
      <c r="H40" s="89">
        <f>+'COEF Art 14 F I'!AF40</f>
        <v>2.0402418310943209E-3</v>
      </c>
      <c r="I40" s="160"/>
      <c r="J40" s="36">
        <f t="shared" si="7"/>
        <v>101621.61550599523</v>
      </c>
      <c r="K40" s="37">
        <f t="shared" si="8"/>
        <v>125076.38117988834</v>
      </c>
      <c r="L40" s="37">
        <f t="shared" si="9"/>
        <v>200815.52918014736</v>
      </c>
      <c r="M40" s="37">
        <f t="shared" si="5"/>
        <v>427513.52586603095</v>
      </c>
      <c r="N40" s="90">
        <f t="shared" si="6"/>
        <v>1.3030299999999999E-3</v>
      </c>
    </row>
    <row r="41" spans="1:14">
      <c r="A41" s="246">
        <v>49</v>
      </c>
      <c r="B41" s="4" t="s">
        <v>23</v>
      </c>
      <c r="C41" s="30">
        <v>1483</v>
      </c>
      <c r="D41" s="78">
        <f t="shared" si="0"/>
        <v>2.5637736535347747E-4</v>
      </c>
      <c r="E41" s="36">
        <v>1129</v>
      </c>
      <c r="F41" s="78">
        <f t="shared" si="1"/>
        <v>1.9353503832730872E-4</v>
      </c>
      <c r="H41" s="89">
        <f>+'COEF Art 14 F I'!AF41</f>
        <v>3.5005221580519446E-4</v>
      </c>
      <c r="I41" s="160"/>
      <c r="J41" s="36">
        <f t="shared" si="7"/>
        <v>29440.292204608504</v>
      </c>
      <c r="K41" s="37">
        <f t="shared" si="8"/>
        <v>22223.990297779972</v>
      </c>
      <c r="L41" s="37">
        <f t="shared" si="9"/>
        <v>34454.700362602984</v>
      </c>
      <c r="M41" s="37">
        <f t="shared" si="5"/>
        <v>86118.982864991471</v>
      </c>
      <c r="N41" s="90">
        <f t="shared" si="6"/>
        <v>2.6248999999999999E-4</v>
      </c>
    </row>
    <row r="42" spans="1:14">
      <c r="A42" s="246">
        <v>48</v>
      </c>
      <c r="B42" s="4" t="s">
        <v>24</v>
      </c>
      <c r="C42" s="30">
        <v>7652</v>
      </c>
      <c r="D42" s="78">
        <f t="shared" si="0"/>
        <v>1.322858799517741E-3</v>
      </c>
      <c r="E42" s="36">
        <v>7822</v>
      </c>
      <c r="F42" s="78">
        <f t="shared" si="1"/>
        <v>1.3408601149656411E-3</v>
      </c>
      <c r="H42" s="89">
        <f>+'COEF Art 14 F I'!AF42</f>
        <v>2.7550909441141553E-3</v>
      </c>
      <c r="I42" s="160"/>
      <c r="J42" s="36">
        <f t="shared" si="7"/>
        <v>151906.34925803391</v>
      </c>
      <c r="K42" s="37">
        <f t="shared" si="8"/>
        <v>153973.47396743574</v>
      </c>
      <c r="L42" s="37">
        <f t="shared" si="9"/>
        <v>271176.20933444053</v>
      </c>
      <c r="M42" s="37">
        <f t="shared" si="5"/>
        <v>577056.03255991021</v>
      </c>
      <c r="N42" s="90">
        <f t="shared" si="6"/>
        <v>1.7588300000000001E-3</v>
      </c>
    </row>
    <row r="43" spans="1:14">
      <c r="A43" s="246">
        <v>47</v>
      </c>
      <c r="B43" s="4" t="s">
        <v>25</v>
      </c>
      <c r="C43" s="30">
        <v>6048</v>
      </c>
      <c r="D43" s="78">
        <f t="shared" si="0"/>
        <v>1.0455632539837032E-3</v>
      </c>
      <c r="E43" s="36">
        <v>6035</v>
      </c>
      <c r="F43" s="78">
        <f t="shared" si="1"/>
        <v>1.0345296335742321E-3</v>
      </c>
      <c r="H43" s="89">
        <f>+'COEF Art 14 F I'!AF43</f>
        <v>3.572609629911763E-3</v>
      </c>
      <c r="I43" s="160"/>
      <c r="J43" s="36">
        <f t="shared" si="7"/>
        <v>120063.98331319774</v>
      </c>
      <c r="K43" s="37">
        <f t="shared" si="8"/>
        <v>118796.9720523491</v>
      </c>
      <c r="L43" s="37">
        <f t="shared" si="9"/>
        <v>351642.38006041246</v>
      </c>
      <c r="M43" s="37">
        <f t="shared" si="5"/>
        <v>590503.33542595932</v>
      </c>
      <c r="N43" s="90">
        <f t="shared" si="6"/>
        <v>1.7998199999999999E-3</v>
      </c>
    </row>
    <row r="44" spans="1:14">
      <c r="A44" s="246">
        <v>45</v>
      </c>
      <c r="B44" s="4" t="s">
        <v>26</v>
      </c>
      <c r="C44" s="30">
        <v>67428</v>
      </c>
      <c r="D44" s="78">
        <f t="shared" si="0"/>
        <v>1.1656785563758786E-2</v>
      </c>
      <c r="E44" s="36">
        <v>70358</v>
      </c>
      <c r="F44" s="78">
        <f t="shared" si="1"/>
        <v>1.2060884168851007E-2</v>
      </c>
      <c r="H44" s="89">
        <f>+'COEF Art 14 F I'!AF44</f>
        <v>7.6270558464784973E-3</v>
      </c>
      <c r="I44" s="160"/>
      <c r="J44" s="36">
        <f t="shared" si="7"/>
        <v>1338570.4806286865</v>
      </c>
      <c r="K44" s="37">
        <f t="shared" si="8"/>
        <v>1384973.8789824652</v>
      </c>
      <c r="L44" s="37">
        <f t="shared" si="9"/>
        <v>750710.64251025463</v>
      </c>
      <c r="M44" s="37">
        <f t="shared" si="5"/>
        <v>3474255.0021214066</v>
      </c>
      <c r="N44" s="90">
        <f t="shared" si="6"/>
        <v>1.0589299999999999E-2</v>
      </c>
    </row>
    <row r="45" spans="1:14">
      <c r="A45" s="246">
        <v>70</v>
      </c>
      <c r="B45" s="4" t="s">
        <v>27</v>
      </c>
      <c r="C45" s="30">
        <v>1142994</v>
      </c>
      <c r="D45" s="78">
        <f t="shared" si="0"/>
        <v>0.19759797055619194</v>
      </c>
      <c r="E45" s="36">
        <v>1164927</v>
      </c>
      <c r="F45" s="78">
        <f t="shared" si="1"/>
        <v>0.1996937038029378</v>
      </c>
      <c r="H45" s="89">
        <f>+'COEF Art 14 F I'!AF45</f>
        <v>0.26041974529118767</v>
      </c>
      <c r="I45" s="160"/>
      <c r="J45" s="36">
        <f t="shared" si="7"/>
        <v>22690544.401965134</v>
      </c>
      <c r="K45" s="37">
        <f t="shared" si="8"/>
        <v>22931201.36901854</v>
      </c>
      <c r="L45" s="37">
        <f t="shared" si="9"/>
        <v>25632416.786376227</v>
      </c>
      <c r="M45" s="37">
        <f t="shared" si="5"/>
        <v>71254162.557359904</v>
      </c>
      <c r="N45" s="90">
        <f t="shared" si="6"/>
        <v>0.21717801</v>
      </c>
    </row>
    <row r="46" spans="1:14">
      <c r="A46" s="246">
        <v>50</v>
      </c>
      <c r="B46" s="4" t="s">
        <v>140</v>
      </c>
      <c r="C46" s="30">
        <v>906</v>
      </c>
      <c r="D46" s="78">
        <f t="shared" si="0"/>
        <v>1.5662703507097141E-4</v>
      </c>
      <c r="E46" s="36">
        <v>1119</v>
      </c>
      <c r="F46" s="78">
        <f t="shared" si="1"/>
        <v>1.9182082186736799E-4</v>
      </c>
      <c r="H46" s="89">
        <f>+'COEF Art 14 F I'!AF46</f>
        <v>1.805026940798152E-3</v>
      </c>
      <c r="I46" s="160"/>
      <c r="J46" s="36">
        <f t="shared" si="7"/>
        <v>17985.775278068311</v>
      </c>
      <c r="K46" s="37">
        <f t="shared" si="8"/>
        <v>22027.14361666589</v>
      </c>
      <c r="L46" s="37">
        <f t="shared" si="9"/>
        <v>177663.95864277618</v>
      </c>
      <c r="M46" s="37">
        <f t="shared" si="5"/>
        <v>217676.87753751039</v>
      </c>
      <c r="N46" s="90">
        <f t="shared" si="6"/>
        <v>6.6346000000000005E-4</v>
      </c>
    </row>
    <row r="47" spans="1:14">
      <c r="A47" s="246">
        <v>51</v>
      </c>
      <c r="B47" s="4" t="s">
        <v>141</v>
      </c>
      <c r="C47" s="30">
        <v>147624</v>
      </c>
      <c r="D47" s="78">
        <f t="shared" si="0"/>
        <v>2.5520871330372057E-2</v>
      </c>
      <c r="E47" s="36">
        <v>121285</v>
      </c>
      <c r="F47" s="78">
        <f t="shared" si="1"/>
        <v>2.0790874334391175E-2</v>
      </c>
      <c r="H47" s="89">
        <f>+'COEF Art 14 F I'!AF47</f>
        <v>1.3182181571604416E-2</v>
      </c>
      <c r="I47" s="160"/>
      <c r="J47" s="36">
        <f t="shared" si="7"/>
        <v>2930609.3704741239</v>
      </c>
      <c r="K47" s="37">
        <f t="shared" si="8"/>
        <v>2387454.9718921557</v>
      </c>
      <c r="L47" s="37">
        <f t="shared" si="9"/>
        <v>1297486.7624543607</v>
      </c>
      <c r="M47" s="37">
        <f t="shared" si="5"/>
        <v>6615551.1048206408</v>
      </c>
      <c r="N47" s="90">
        <f t="shared" si="6"/>
        <v>2.0163770000000001E-2</v>
      </c>
    </row>
    <row r="48" spans="1:14">
      <c r="A48" s="246">
        <v>52</v>
      </c>
      <c r="B48" s="4" t="s">
        <v>142</v>
      </c>
      <c r="C48" s="30">
        <v>5389</v>
      </c>
      <c r="D48" s="78">
        <f t="shared" si="0"/>
        <v>9.3163696688461914E-4</v>
      </c>
      <c r="E48" s="36">
        <v>5327</v>
      </c>
      <c r="F48" s="78">
        <f t="shared" si="1"/>
        <v>9.1316310821042829E-4</v>
      </c>
      <c r="H48" s="89">
        <f>+'COEF Art 14 F I'!AF48</f>
        <v>2.0424418278495718E-3</v>
      </c>
      <c r="I48" s="160"/>
      <c r="J48" s="36">
        <f t="shared" si="7"/>
        <v>106981.61476104871</v>
      </c>
      <c r="K48" s="37">
        <f t="shared" si="8"/>
        <v>104860.22702947202</v>
      </c>
      <c r="L48" s="37">
        <f t="shared" si="9"/>
        <v>201032.06895786739</v>
      </c>
      <c r="M48" s="37">
        <f t="shared" si="5"/>
        <v>412873.91074838815</v>
      </c>
      <c r="N48" s="90">
        <f t="shared" si="6"/>
        <v>1.25841E-3</v>
      </c>
    </row>
    <row r="49" spans="1:14">
      <c r="A49" s="246">
        <v>53</v>
      </c>
      <c r="B49" s="4" t="s">
        <v>28</v>
      </c>
      <c r="C49" s="30">
        <v>2377</v>
      </c>
      <c r="D49" s="78">
        <f t="shared" si="0"/>
        <v>4.1092987015860824E-4</v>
      </c>
      <c r="E49" s="36">
        <v>3131</v>
      </c>
      <c r="F49" s="78">
        <f t="shared" si="1"/>
        <v>5.367211736074434E-4</v>
      </c>
      <c r="H49" s="89">
        <f>+'COEF Art 14 F I'!AF49</f>
        <v>1.8596387880508534E-3</v>
      </c>
      <c r="I49" s="160"/>
      <c r="J49" s="36">
        <f t="shared" si="7"/>
        <v>47187.845293563332</v>
      </c>
      <c r="K49" s="37">
        <f t="shared" si="8"/>
        <v>61632.695856819395</v>
      </c>
      <c r="L49" s="37">
        <f t="shared" si="9"/>
        <v>183039.25623662776</v>
      </c>
      <c r="M49" s="37">
        <f t="shared" si="5"/>
        <v>291859.79738701048</v>
      </c>
      <c r="N49" s="90">
        <f t="shared" si="6"/>
        <v>8.8957000000000001E-4</v>
      </c>
    </row>
    <row r="50" spans="1:14">
      <c r="A50" s="246">
        <v>54</v>
      </c>
      <c r="B50" s="4" t="s">
        <v>29</v>
      </c>
      <c r="C50" s="30">
        <v>34709</v>
      </c>
      <c r="D50" s="78">
        <f t="shared" si="0"/>
        <v>6.0004059164220159E-3</v>
      </c>
      <c r="E50" s="36">
        <v>40476</v>
      </c>
      <c r="F50" s="78">
        <f t="shared" si="1"/>
        <v>6.9384625432561096E-3</v>
      </c>
      <c r="H50" s="89">
        <f>+'COEF Art 14 F I'!AF50</f>
        <v>4.7255240576429399E-3</v>
      </c>
      <c r="I50" s="160"/>
      <c r="J50" s="36">
        <f t="shared" si="7"/>
        <v>689037.83016166999</v>
      </c>
      <c r="K50" s="37">
        <f t="shared" si="8"/>
        <v>796756.62647736247</v>
      </c>
      <c r="L50" s="37">
        <f t="shared" si="9"/>
        <v>465120.65375117463</v>
      </c>
      <c r="M50" s="37">
        <f t="shared" si="5"/>
        <v>1950915.110390207</v>
      </c>
      <c r="N50" s="90">
        <f t="shared" si="6"/>
        <v>5.9462600000000001E-3</v>
      </c>
    </row>
    <row r="51" spans="1:14">
      <c r="A51" s="246">
        <v>55</v>
      </c>
      <c r="B51" s="4" t="s">
        <v>30</v>
      </c>
      <c r="C51" s="30">
        <v>86766</v>
      </c>
      <c r="D51" s="78">
        <f t="shared" si="0"/>
        <v>1.4999891087161044E-2</v>
      </c>
      <c r="E51" s="36">
        <v>65399</v>
      </c>
      <c r="F51" s="78">
        <f t="shared" si="1"/>
        <v>1.1210804226366397E-2</v>
      </c>
      <c r="H51" s="89">
        <f>+'COEF Art 14 F I'!AF51</f>
        <v>1.1012789071898389E-2</v>
      </c>
      <c r="I51" s="160"/>
      <c r="J51" s="36">
        <f t="shared" si="7"/>
        <v>1722465.5383850718</v>
      </c>
      <c r="K51" s="37">
        <f t="shared" si="8"/>
        <v>1287357.6098179915</v>
      </c>
      <c r="L51" s="37">
        <f t="shared" si="9"/>
        <v>1083959.2794920881</v>
      </c>
      <c r="M51" s="37">
        <f t="shared" si="5"/>
        <v>4093782.4276951514</v>
      </c>
      <c r="N51" s="90">
        <f t="shared" si="6"/>
        <v>1.247758E-2</v>
      </c>
    </row>
    <row r="52" spans="1:14">
      <c r="A52" s="246">
        <v>58</v>
      </c>
      <c r="B52" s="4" t="s">
        <v>143</v>
      </c>
      <c r="C52" s="30">
        <v>412199</v>
      </c>
      <c r="D52" s="78">
        <f t="shared" si="0"/>
        <v>7.125994175410523E-2</v>
      </c>
      <c r="E52" s="36">
        <v>483249</v>
      </c>
      <c r="F52" s="78">
        <f t="shared" si="1"/>
        <v>8.2839339004989909E-2</v>
      </c>
      <c r="H52" s="89">
        <f>+'COEF Art 14 F I'!AF52</f>
        <v>6.0731308664514642E-2</v>
      </c>
      <c r="I52" s="160"/>
      <c r="J52" s="36">
        <f t="shared" si="7"/>
        <v>8182912.3441992039</v>
      </c>
      <c r="K52" s="37">
        <f t="shared" si="8"/>
        <v>9512596.1801699493</v>
      </c>
      <c r="L52" s="37">
        <f t="shared" si="9"/>
        <v>5977619.7612446472</v>
      </c>
      <c r="M52" s="37">
        <f t="shared" si="5"/>
        <v>23673128.285613801</v>
      </c>
      <c r="N52" s="90">
        <f t="shared" si="6"/>
        <v>7.2154140000000005E-2</v>
      </c>
    </row>
    <row r="53" spans="1:14">
      <c r="A53" s="246">
        <v>31</v>
      </c>
      <c r="B53" s="4" t="s">
        <v>144</v>
      </c>
      <c r="C53" s="30">
        <v>132169</v>
      </c>
      <c r="D53" s="78">
        <f t="shared" si="0"/>
        <v>2.2849049225491413E-2</v>
      </c>
      <c r="E53" s="36">
        <v>142218</v>
      </c>
      <c r="F53" s="78">
        <f t="shared" si="1"/>
        <v>2.4379243649985113E-2</v>
      </c>
      <c r="H53" s="89">
        <f>+'COEF Art 14 F I'!AF53</f>
        <v>0.13105874258907152</v>
      </c>
      <c r="I53" s="160"/>
      <c r="J53" s="36">
        <f t="shared" si="7"/>
        <v>2623799.0427450449</v>
      </c>
      <c r="K53" s="37">
        <f t="shared" si="8"/>
        <v>2799514.1294682659</v>
      </c>
      <c r="L53" s="37">
        <f t="shared" si="9"/>
        <v>12899760.384087721</v>
      </c>
      <c r="M53" s="37">
        <f t="shared" si="5"/>
        <v>18323073.556301031</v>
      </c>
      <c r="N53" s="90">
        <f t="shared" si="6"/>
        <v>5.5847529999999999E-2</v>
      </c>
    </row>
    <row r="54" spans="1:14">
      <c r="A54" s="246">
        <v>57</v>
      </c>
      <c r="B54" s="4" t="s">
        <v>31</v>
      </c>
      <c r="C54" s="30">
        <v>306322</v>
      </c>
      <c r="D54" s="78">
        <f t="shared" si="0"/>
        <v>5.2956188341070756E-2</v>
      </c>
      <c r="E54" s="36">
        <v>332214</v>
      </c>
      <c r="F54" s="78">
        <f t="shared" si="1"/>
        <v>5.6948670702275057E-2</v>
      </c>
      <c r="H54" s="89">
        <f>+'COEF Art 14 F I'!AF54</f>
        <v>4.7159282875951634E-2</v>
      </c>
      <c r="I54" s="160"/>
      <c r="J54" s="36">
        <f t="shared" si="7"/>
        <v>6081058.1178018115</v>
      </c>
      <c r="K54" s="37">
        <f t="shared" si="8"/>
        <v>6539522.3319633976</v>
      </c>
      <c r="L54" s="37">
        <f t="shared" si="9"/>
        <v>4641761.6785216639</v>
      </c>
      <c r="M54" s="37">
        <f t="shared" si="5"/>
        <v>17262342.128286872</v>
      </c>
      <c r="N54" s="90">
        <f t="shared" si="6"/>
        <v>5.261449E-2</v>
      </c>
    </row>
    <row r="55" spans="1:14">
      <c r="A55" s="246">
        <v>56</v>
      </c>
      <c r="B55" s="4" t="s">
        <v>32</v>
      </c>
      <c r="C55" s="30">
        <v>46784</v>
      </c>
      <c r="D55" s="78">
        <f t="shared" si="0"/>
        <v>8.0879019964242016E-3</v>
      </c>
      <c r="E55" s="36">
        <v>48704</v>
      </c>
      <c r="F55" s="78">
        <f t="shared" si="1"/>
        <v>8.3489198464953441E-3</v>
      </c>
      <c r="H55" s="89">
        <f>+'COEF Art 14 F I'!AF55</f>
        <v>1.520801039597176E-2</v>
      </c>
      <c r="I55" s="160"/>
      <c r="J55" s="36">
        <f t="shared" si="7"/>
        <v>928748.90795711684</v>
      </c>
      <c r="K55" s="37">
        <f t="shared" si="8"/>
        <v>958722.07569802995</v>
      </c>
      <c r="L55" s="37">
        <f t="shared" si="9"/>
        <v>1496883.6580544866</v>
      </c>
      <c r="M55" s="37">
        <f t="shared" si="5"/>
        <v>3384354.6417096332</v>
      </c>
      <c r="N55" s="90">
        <f t="shared" si="6"/>
        <v>1.031529E-2</v>
      </c>
    </row>
    <row r="56" spans="1:14">
      <c r="A56" s="246">
        <v>59</v>
      </c>
      <c r="B56" s="4" t="s">
        <v>33</v>
      </c>
      <c r="C56" s="30">
        <v>1552</v>
      </c>
      <c r="D56" s="78">
        <f t="shared" si="0"/>
        <v>2.6830591438206137E-4</v>
      </c>
      <c r="E56" s="36">
        <v>2023</v>
      </c>
      <c r="F56" s="78">
        <f t="shared" si="1"/>
        <v>3.4678598984601023E-4</v>
      </c>
      <c r="H56" s="89">
        <f>+'COEF Art 14 F I'!AF56</f>
        <v>2.8078537565360503E-3</v>
      </c>
      <c r="I56" s="160"/>
      <c r="J56" s="36">
        <f t="shared" si="7"/>
        <v>30810.069792011054</v>
      </c>
      <c r="K56" s="37">
        <f t="shared" si="8"/>
        <v>39822.083589378999</v>
      </c>
      <c r="L56" s="37">
        <f t="shared" si="9"/>
        <v>276369.51139111514</v>
      </c>
      <c r="M56" s="37">
        <f t="shared" si="5"/>
        <v>347001.66477250517</v>
      </c>
      <c r="N56" s="90">
        <f t="shared" si="6"/>
        <v>1.0576400000000001E-3</v>
      </c>
    </row>
    <row r="57" spans="1:14">
      <c r="A57" s="246">
        <v>60</v>
      </c>
      <c r="B57" s="4" t="s">
        <v>34</v>
      </c>
      <c r="C57" s="30">
        <v>3573</v>
      </c>
      <c r="D57" s="78">
        <f t="shared" si="0"/>
        <v>6.1769138665406279E-4</v>
      </c>
      <c r="E57" s="36">
        <v>4743</v>
      </c>
      <c r="F57" s="78">
        <f t="shared" si="1"/>
        <v>8.1305286694988946E-4</v>
      </c>
      <c r="H57" s="89">
        <f>+'COEF Art 14 F I'!AF57</f>
        <v>2.4107449992848288E-3</v>
      </c>
      <c r="I57" s="160"/>
      <c r="J57" s="36">
        <f t="shared" si="7"/>
        <v>70930.656808540924</v>
      </c>
      <c r="K57" s="37">
        <f t="shared" si="8"/>
        <v>93364.380852409566</v>
      </c>
      <c r="L57" s="37">
        <f t="shared" si="9"/>
        <v>237283.16191326836</v>
      </c>
      <c r="M57" s="37">
        <f t="shared" si="5"/>
        <v>401578.19957421883</v>
      </c>
      <c r="N57" s="90">
        <f t="shared" si="6"/>
        <v>1.2239799999999999E-3</v>
      </c>
    </row>
    <row r="58" spans="1:14" ht="13.5" thickBot="1">
      <c r="B58" s="6" t="s">
        <v>35</v>
      </c>
      <c r="C58" s="39">
        <f>SUM(C7:C57)</f>
        <v>5784442</v>
      </c>
      <c r="D58" s="79">
        <f>SUM(D7:D57)</f>
        <v>1.0000000000000002</v>
      </c>
      <c r="E58" s="45">
        <f>SUM(E7:E57)</f>
        <v>5833569</v>
      </c>
      <c r="F58" s="79">
        <f t="shared" si="1"/>
        <v>1</v>
      </c>
      <c r="H58" s="91">
        <f t="shared" ref="H58:N58" si="10">SUM(H7:H57)</f>
        <v>0.99999999999999967</v>
      </c>
      <c r="I58" s="161"/>
      <c r="J58" s="45">
        <f t="shared" si="10"/>
        <v>114831869.67000003</v>
      </c>
      <c r="K58" s="46">
        <f t="shared" si="10"/>
        <v>114831869.67000005</v>
      </c>
      <c r="L58" s="46">
        <f t="shared" si="10"/>
        <v>98427316.860000029</v>
      </c>
      <c r="M58" s="46">
        <f t="shared" si="10"/>
        <v>328091056.20000011</v>
      </c>
      <c r="N58" s="92">
        <f t="shared" si="10"/>
        <v>1.0000000299999998</v>
      </c>
    </row>
    <row r="59" spans="1:14" ht="13.5" thickTop="1"/>
    <row r="60" spans="1:14" ht="15.75" customHeight="1">
      <c r="B60" s="11" t="s">
        <v>55</v>
      </c>
    </row>
    <row r="61" spans="1:14">
      <c r="B61" s="11" t="s">
        <v>150</v>
      </c>
    </row>
    <row r="62" spans="1:14">
      <c r="B62" s="11" t="s">
        <v>151</v>
      </c>
    </row>
  </sheetData>
  <mergeCells count="3">
    <mergeCell ref="B1:N1"/>
    <mergeCell ref="C3:D3"/>
    <mergeCell ref="E3:F3"/>
  </mergeCells>
  <printOptions horizontalCentered="1"/>
  <pageMargins left="0.19685039370078741" right="0.19685039370078741" top="0.35433070866141736" bottom="0.15748031496062992" header="0.15748031496062992" footer="0.15748031496062992"/>
  <pageSetup scale="70" orientation="landscape" r:id="rId1"/>
  <headerFooter alignWithMargins="0">
    <oddHeader>&amp;LANEXO 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showGridLines="0" topLeftCell="L1" zoomScaleNormal="100" workbookViewId="0">
      <selection activeCell="Q40" sqref="Q40"/>
    </sheetView>
  </sheetViews>
  <sheetFormatPr baseColWidth="10" defaultColWidth="11.42578125" defaultRowHeight="12.75"/>
  <cols>
    <col min="1" max="1" width="3" style="107" bestFit="1" customWidth="1"/>
    <col min="2" max="2" width="28.28515625" style="107" bestFit="1" customWidth="1"/>
    <col min="3" max="3" width="17.28515625" style="107" customWidth="1"/>
    <col min="4" max="4" width="16.85546875" style="107" customWidth="1"/>
    <col min="5" max="5" width="14.42578125" style="107" customWidth="1"/>
    <col min="6" max="6" width="21.140625" style="107" customWidth="1"/>
    <col min="7" max="7" width="17" style="107" customWidth="1"/>
    <col min="8" max="8" width="17.42578125" style="107" customWidth="1"/>
    <col min="9" max="9" width="15.42578125" style="107" customWidth="1"/>
    <col min="10" max="10" width="15" style="107" customWidth="1"/>
    <col min="11" max="11" width="21.42578125" style="107" customWidth="1"/>
    <col min="12" max="12" width="5.28515625" style="107" customWidth="1"/>
    <col min="13" max="13" width="28.140625" style="107" customWidth="1"/>
    <col min="14" max="18" width="18.85546875" style="107" customWidth="1"/>
    <col min="19" max="19" width="0.28515625" style="107" customWidth="1"/>
    <col min="20" max="20" width="11.42578125" style="107" customWidth="1"/>
    <col min="21" max="21" width="21.28515625" style="107" customWidth="1"/>
    <col min="22" max="22" width="16.7109375" style="107" bestFit="1" customWidth="1"/>
    <col min="23" max="24" width="15.28515625" style="107" bestFit="1" customWidth="1"/>
    <col min="25" max="25" width="14.28515625" style="107" bestFit="1" customWidth="1"/>
    <col min="26" max="26" width="13.28515625" style="107" bestFit="1" customWidth="1"/>
    <col min="27" max="27" width="12.5703125" style="107" bestFit="1" customWidth="1"/>
    <col min="28" max="28" width="14.28515625" style="107" bestFit="1" customWidth="1"/>
    <col min="29" max="16384" width="11.42578125" style="107"/>
  </cols>
  <sheetData>
    <row r="1" spans="1:29" ht="38.25" customHeight="1" thickBot="1">
      <c r="B1" s="142"/>
      <c r="C1" s="278" t="s">
        <v>127</v>
      </c>
      <c r="D1" s="278"/>
      <c r="E1" s="278"/>
      <c r="F1" s="278"/>
      <c r="G1" s="278" t="s">
        <v>126</v>
      </c>
      <c r="H1" s="278"/>
      <c r="I1" s="278"/>
      <c r="J1" s="278"/>
      <c r="K1" s="151" t="s">
        <v>125</v>
      </c>
      <c r="M1" s="279" t="s">
        <v>124</v>
      </c>
      <c r="N1" s="279"/>
      <c r="O1" s="279"/>
      <c r="P1" s="279"/>
      <c r="Q1" s="279"/>
      <c r="R1" s="279"/>
    </row>
    <row r="2" spans="1:29" ht="68.25" customHeight="1" thickTop="1" thickBot="1">
      <c r="B2" s="150" t="s">
        <v>0</v>
      </c>
      <c r="C2" s="149" t="s">
        <v>201</v>
      </c>
      <c r="D2" s="148" t="s">
        <v>200</v>
      </c>
      <c r="E2" s="148" t="s">
        <v>123</v>
      </c>
      <c r="F2" s="147" t="s">
        <v>122</v>
      </c>
      <c r="G2" s="148" t="s">
        <v>193</v>
      </c>
      <c r="H2" s="148" t="s">
        <v>121</v>
      </c>
      <c r="I2" s="148" t="s">
        <v>120</v>
      </c>
      <c r="J2" s="145" t="s">
        <v>119</v>
      </c>
      <c r="K2" s="146" t="s">
        <v>118</v>
      </c>
      <c r="M2" s="150" t="s">
        <v>0</v>
      </c>
      <c r="N2" s="149" t="s">
        <v>117</v>
      </c>
      <c r="O2" s="148" t="s">
        <v>116</v>
      </c>
      <c r="P2" s="147" t="s">
        <v>115</v>
      </c>
      <c r="Q2" s="146" t="s">
        <v>114</v>
      </c>
      <c r="R2" s="145" t="s">
        <v>61</v>
      </c>
    </row>
    <row r="3" spans="1:29" ht="21" customHeight="1" thickTop="1">
      <c r="B3" s="142"/>
      <c r="C3" s="144" t="s">
        <v>113</v>
      </c>
      <c r="D3" s="144" t="s">
        <v>112</v>
      </c>
      <c r="E3" s="144" t="s">
        <v>111</v>
      </c>
      <c r="F3" s="144" t="s">
        <v>110</v>
      </c>
      <c r="G3" s="144" t="s">
        <v>109</v>
      </c>
      <c r="H3" s="144" t="s">
        <v>108</v>
      </c>
      <c r="I3" s="144"/>
      <c r="J3" s="144" t="s">
        <v>107</v>
      </c>
      <c r="K3" s="144" t="s">
        <v>106</v>
      </c>
      <c r="N3" s="220">
        <f>N4*Q3</f>
        <v>250594776.5</v>
      </c>
      <c r="O3" s="220">
        <f>Q3*O4</f>
        <v>150356865.90000001</v>
      </c>
      <c r="P3" s="220">
        <f>Q3*P4</f>
        <v>100237910.60000001</v>
      </c>
      <c r="Q3" s="220">
        <f>+'PART 2024'!D11</f>
        <v>501189553</v>
      </c>
      <c r="R3" s="221"/>
    </row>
    <row r="4" spans="1:29" ht="13.5" thickBot="1">
      <c r="G4" s="143"/>
      <c r="H4" s="142"/>
      <c r="I4" s="142"/>
      <c r="J4" s="142"/>
      <c r="N4" s="222">
        <v>0.5</v>
      </c>
      <c r="O4" s="222">
        <v>0.3</v>
      </c>
      <c r="P4" s="222">
        <v>0.2</v>
      </c>
      <c r="Q4" s="223" t="s">
        <v>105</v>
      </c>
      <c r="R4" s="223"/>
    </row>
    <row r="5" spans="1:29" ht="13.5" thickTop="1">
      <c r="A5" s="246">
        <v>15</v>
      </c>
      <c r="B5" s="167" t="s">
        <v>1</v>
      </c>
      <c r="C5" s="136">
        <v>748778</v>
      </c>
      <c r="D5" s="135">
        <f>+VLOOKUP(A5,'COEF Art 14 F I'!A$7:D$57,4,)</f>
        <v>215240.1</v>
      </c>
      <c r="E5" s="141">
        <f t="shared" ref="E5:E36" si="0">IFERROR(D5/C5,0)</f>
        <v>0.28745516027447388</v>
      </c>
      <c r="F5" s="140">
        <f t="shared" ref="F5:F36" si="1">IFERROR(E5/$E$56,0)</f>
        <v>1.7803396844044014E-2</v>
      </c>
      <c r="G5" s="135">
        <v>200922.61</v>
      </c>
      <c r="H5" s="157">
        <f t="shared" ref="H5:H36" si="2">IFERROR((D5/G5)-1,0)</f>
        <v>7.1258729915961272E-2</v>
      </c>
      <c r="I5" s="139">
        <f t="shared" ref="I5:I36" si="3">IF(H5&lt;0,0,H5)</f>
        <v>7.1258729915961272E-2</v>
      </c>
      <c r="J5" s="132">
        <f t="shared" ref="J5:J36" si="4">IFERROR(I5/$I$56,0)</f>
        <v>7.3407925922110507E-3</v>
      </c>
      <c r="K5" s="138">
        <f t="shared" ref="K5:K36" si="5">IFERROR(D5/$D$56,0)</f>
        <v>7.4263950242771002E-5</v>
      </c>
      <c r="M5" s="137" t="s">
        <v>1</v>
      </c>
      <c r="N5" s="136">
        <f t="shared" ref="N5:N36" si="6">IFERROR($N$3*F5,0)</f>
        <v>4461438.2530740155</v>
      </c>
      <c r="O5" s="135">
        <f t="shared" ref="O5:O36" si="7">IFERROR($O$3*J5,0)</f>
        <v>1103738.5673867904</v>
      </c>
      <c r="P5" s="134">
        <f t="shared" ref="P5:P36" si="8">IFERROR($P$3*K5,0)</f>
        <v>7444.0632052377287</v>
      </c>
      <c r="Q5" s="133">
        <f t="shared" ref="Q5:Q36" si="9">IFERROR(SUM(N5:P5),0)</f>
        <v>5572620.8836660432</v>
      </c>
      <c r="R5" s="132">
        <f t="shared" ref="R5:R36" si="10">IFERROR(Q5/$Q$56,0)</f>
        <v>1.1118788989733876E-2</v>
      </c>
      <c r="T5" s="108"/>
      <c r="AC5" s="108"/>
    </row>
    <row r="6" spans="1:29">
      <c r="A6" s="246">
        <v>11</v>
      </c>
      <c r="B6" s="168" t="s">
        <v>2</v>
      </c>
      <c r="C6" s="126">
        <v>2700030</v>
      </c>
      <c r="D6" s="125">
        <f>+VLOOKUP(A6,'COEF Art 14 F I'!A$7:D$57,4,)</f>
        <v>825718</v>
      </c>
      <c r="E6" s="131">
        <f t="shared" si="0"/>
        <v>0.30581808350277589</v>
      </c>
      <c r="F6" s="130">
        <f t="shared" si="1"/>
        <v>1.894069564618768E-2</v>
      </c>
      <c r="G6" s="125">
        <v>996274</v>
      </c>
      <c r="H6" s="158">
        <f t="shared" si="2"/>
        <v>-0.17119386835348505</v>
      </c>
      <c r="I6" s="129">
        <f t="shared" si="3"/>
        <v>0</v>
      </c>
      <c r="J6" s="122">
        <f t="shared" si="4"/>
        <v>0</v>
      </c>
      <c r="K6" s="128">
        <f t="shared" si="5"/>
        <v>2.8489617160817329E-4</v>
      </c>
      <c r="M6" s="127" t="s">
        <v>2</v>
      </c>
      <c r="N6" s="126">
        <f t="shared" si="6"/>
        <v>4746439.392210925</v>
      </c>
      <c r="O6" s="125">
        <f t="shared" si="7"/>
        <v>0</v>
      </c>
      <c r="P6" s="124">
        <f t="shared" si="8"/>
        <v>28557.396979942336</v>
      </c>
      <c r="Q6" s="123">
        <f t="shared" si="9"/>
        <v>4774996.789190867</v>
      </c>
      <c r="R6" s="122">
        <f t="shared" si="10"/>
        <v>9.5273270574154738E-3</v>
      </c>
      <c r="T6" s="108"/>
      <c r="U6" s="108"/>
      <c r="V6" s="108"/>
      <c r="W6" s="108"/>
      <c r="X6" s="108"/>
      <c r="Y6" s="108"/>
      <c r="Z6" s="108"/>
    </row>
    <row r="7" spans="1:29">
      <c r="A7" s="246">
        <v>12</v>
      </c>
      <c r="B7" s="168" t="s">
        <v>145</v>
      </c>
      <c r="C7" s="126">
        <v>1233500</v>
      </c>
      <c r="D7" s="125">
        <f>+VLOOKUP(A7,'COEF Art 14 F I'!A$7:D$57,4,)</f>
        <v>291226</v>
      </c>
      <c r="E7" s="131">
        <f t="shared" si="0"/>
        <v>0.23609728415079043</v>
      </c>
      <c r="F7" s="130">
        <f t="shared" si="1"/>
        <v>1.4622571532631494E-2</v>
      </c>
      <c r="G7" s="125">
        <v>288767</v>
      </c>
      <c r="H7" s="158">
        <f t="shared" si="2"/>
        <v>8.5155159696226335E-3</v>
      </c>
      <c r="I7" s="129">
        <f t="shared" si="3"/>
        <v>8.5155159696226335E-3</v>
      </c>
      <c r="J7" s="122">
        <f t="shared" si="4"/>
        <v>8.7723478403814415E-4</v>
      </c>
      <c r="K7" s="128">
        <f t="shared" si="5"/>
        <v>1.0048124477456211E-4</v>
      </c>
      <c r="M7" s="127" t="s">
        <v>145</v>
      </c>
      <c r="N7" s="126">
        <f t="shared" si="6"/>
        <v>3664340.0450750515</v>
      </c>
      <c r="O7" s="125">
        <f t="shared" si="7"/>
        <v>131898.2727864387</v>
      </c>
      <c r="P7" s="124">
        <f t="shared" si="8"/>
        <v>10072.030030689275</v>
      </c>
      <c r="Q7" s="123">
        <f t="shared" si="9"/>
        <v>3806310.3478921792</v>
      </c>
      <c r="R7" s="122">
        <f t="shared" si="10"/>
        <v>7.5945524504821005E-3</v>
      </c>
      <c r="T7" s="108"/>
      <c r="U7" s="108"/>
      <c r="V7" s="108"/>
      <c r="W7" s="108"/>
      <c r="X7" s="108"/>
      <c r="Y7" s="108"/>
      <c r="Z7" s="108"/>
    </row>
    <row r="8" spans="1:29">
      <c r="A8" s="246">
        <v>13</v>
      </c>
      <c r="B8" s="168" t="s">
        <v>3</v>
      </c>
      <c r="C8" s="126">
        <v>58299346</v>
      </c>
      <c r="D8" s="125">
        <f>+VLOOKUP(A8,'COEF Art 14 F I'!A$7:D$57,4,)</f>
        <v>25827964</v>
      </c>
      <c r="E8" s="131">
        <f t="shared" si="0"/>
        <v>0.44302322019186974</v>
      </c>
      <c r="F8" s="130">
        <f t="shared" si="1"/>
        <v>2.7438429676026749E-2</v>
      </c>
      <c r="G8" s="125">
        <v>25832482</v>
      </c>
      <c r="H8" s="158">
        <f t="shared" si="2"/>
        <v>-1.7489608625298469E-4</v>
      </c>
      <c r="I8" s="129">
        <f t="shared" si="3"/>
        <v>0</v>
      </c>
      <c r="J8" s="122">
        <f t="shared" si="4"/>
        <v>0</v>
      </c>
      <c r="K8" s="128">
        <f t="shared" si="5"/>
        <v>8.9113814450377995E-3</v>
      </c>
      <c r="M8" s="127" t="s">
        <v>3</v>
      </c>
      <c r="N8" s="126">
        <f t="shared" si="6"/>
        <v>6875927.152174891</v>
      </c>
      <c r="O8" s="125">
        <f t="shared" si="7"/>
        <v>0</v>
      </c>
      <c r="P8" s="124">
        <f t="shared" si="8"/>
        <v>893258.25661019783</v>
      </c>
      <c r="Q8" s="123">
        <f t="shared" si="9"/>
        <v>7769185.4087850889</v>
      </c>
      <c r="R8" s="122">
        <f t="shared" si="10"/>
        <v>1.5501491127020933E-2</v>
      </c>
      <c r="T8" s="108"/>
      <c r="U8" s="108"/>
      <c r="V8" s="108"/>
      <c r="W8" s="108"/>
      <c r="X8" s="108"/>
      <c r="Y8" s="108"/>
      <c r="Z8" s="108"/>
    </row>
    <row r="9" spans="1:29">
      <c r="A9" s="246">
        <v>14</v>
      </c>
      <c r="B9" s="168" t="s">
        <v>146</v>
      </c>
      <c r="C9" s="126">
        <v>11856377</v>
      </c>
      <c r="D9" s="125">
        <f>+VLOOKUP(A9,'COEF Art 14 F I'!A$7:D$57,4,)</f>
        <v>2729196</v>
      </c>
      <c r="E9" s="131">
        <f t="shared" si="0"/>
        <v>0.23018802455421247</v>
      </c>
      <c r="F9" s="130">
        <f t="shared" si="1"/>
        <v>1.4256584386838394E-2</v>
      </c>
      <c r="G9" s="125">
        <v>1947895</v>
      </c>
      <c r="H9" s="158">
        <f t="shared" si="2"/>
        <v>0.4011001619697161</v>
      </c>
      <c r="I9" s="129">
        <f t="shared" si="3"/>
        <v>0.4011001619697161</v>
      </c>
      <c r="J9" s="122">
        <f t="shared" si="4"/>
        <v>4.1319752698292606E-2</v>
      </c>
      <c r="K9" s="128">
        <f t="shared" si="5"/>
        <v>9.4165016624118655E-4</v>
      </c>
      <c r="M9" s="127" t="s">
        <v>146</v>
      </c>
      <c r="N9" s="126">
        <f t="shared" si="6"/>
        <v>3572625.578073157</v>
      </c>
      <c r="O9" s="125">
        <f t="shared" si="7"/>
        <v>6212708.5154783446</v>
      </c>
      <c r="P9" s="124">
        <f t="shared" si="8"/>
        <v>94389.045180159199</v>
      </c>
      <c r="Q9" s="123">
        <f t="shared" si="9"/>
        <v>9879723.1387316603</v>
      </c>
      <c r="R9" s="122">
        <f t="shared" si="10"/>
        <v>1.9712548036155214E-2</v>
      </c>
      <c r="T9" s="108"/>
      <c r="U9" s="108"/>
      <c r="V9" s="108"/>
      <c r="W9" s="108"/>
      <c r="X9" s="108"/>
      <c r="Y9" s="108"/>
      <c r="Z9" s="108"/>
    </row>
    <row r="10" spans="1:29">
      <c r="A10" s="246">
        <v>17</v>
      </c>
      <c r="B10" s="168" t="s">
        <v>4</v>
      </c>
      <c r="C10" s="126">
        <v>697064760</v>
      </c>
      <c r="D10" s="125">
        <f>+VLOOKUP(A10,'COEF Art 14 F I'!A$7:D$57,4,)</f>
        <v>369978125.35000002</v>
      </c>
      <c r="E10" s="131">
        <f t="shared" si="0"/>
        <v>0.5307657861659798</v>
      </c>
      <c r="F10" s="130">
        <f t="shared" si="1"/>
        <v>3.2872723221706097E-2</v>
      </c>
      <c r="G10" s="125">
        <v>336540527.29999995</v>
      </c>
      <c r="H10" s="158">
        <f t="shared" si="2"/>
        <v>9.9356824327410109E-2</v>
      </c>
      <c r="I10" s="129">
        <f t="shared" si="3"/>
        <v>9.9356824327410109E-2</v>
      </c>
      <c r="J10" s="122">
        <f t="shared" si="4"/>
        <v>1.0235347175966122E-2</v>
      </c>
      <c r="K10" s="128">
        <f t="shared" si="5"/>
        <v>0.12765296565048098</v>
      </c>
      <c r="M10" s="127" t="s">
        <v>4</v>
      </c>
      <c r="N10" s="126">
        <f t="shared" si="6"/>
        <v>8237732.7286897991</v>
      </c>
      <c r="O10" s="125">
        <f t="shared" si="7"/>
        <v>1538954.7227766821</v>
      </c>
      <c r="P10" s="124">
        <f t="shared" si="8"/>
        <v>12795666.558697784</v>
      </c>
      <c r="Q10" s="123">
        <f t="shared" si="9"/>
        <v>22572354.010164268</v>
      </c>
      <c r="R10" s="122">
        <f t="shared" si="10"/>
        <v>4.5037558893739081E-2</v>
      </c>
      <c r="T10" s="108"/>
      <c r="U10" s="108"/>
      <c r="V10" s="108"/>
      <c r="W10" s="108"/>
      <c r="X10" s="108"/>
      <c r="Y10" s="108"/>
      <c r="Z10" s="108"/>
    </row>
    <row r="11" spans="1:29">
      <c r="A11" s="246">
        <v>16</v>
      </c>
      <c r="B11" s="127" t="s">
        <v>5</v>
      </c>
      <c r="C11" s="126">
        <v>1901133</v>
      </c>
      <c r="D11" s="125">
        <f>+VLOOKUP(A11,'COEF Art 14 F I'!A$7:D$57,4,)</f>
        <v>809425.1</v>
      </c>
      <c r="E11" s="131">
        <f t="shared" si="0"/>
        <v>0.42575932351918566</v>
      </c>
      <c r="F11" s="130">
        <f t="shared" si="1"/>
        <v>2.6369198554049709E-2</v>
      </c>
      <c r="G11" s="125">
        <v>792296.3</v>
      </c>
      <c r="H11" s="158">
        <f t="shared" si="2"/>
        <v>2.1619184640897515E-2</v>
      </c>
      <c r="I11" s="129">
        <f t="shared" si="3"/>
        <v>2.1619184640897515E-2</v>
      </c>
      <c r="J11" s="122">
        <f t="shared" si="4"/>
        <v>2.2271229174124769E-3</v>
      </c>
      <c r="K11" s="128">
        <f t="shared" si="5"/>
        <v>2.7927465816848226E-4</v>
      </c>
      <c r="M11" s="127" t="s">
        <v>5</v>
      </c>
      <c r="N11" s="126">
        <f t="shared" si="6"/>
        <v>6607983.4181362102</v>
      </c>
      <c r="O11" s="125">
        <f t="shared" si="7"/>
        <v>334863.22183620458</v>
      </c>
      <c r="P11" s="124">
        <f t="shared" si="8"/>
        <v>27993.908218337889</v>
      </c>
      <c r="Q11" s="123">
        <f t="shared" si="9"/>
        <v>6970840.548190753</v>
      </c>
      <c r="R11" s="122">
        <f t="shared" si="10"/>
        <v>1.3908591083882293E-2</v>
      </c>
      <c r="T11" s="108"/>
      <c r="U11" s="108"/>
      <c r="V11" s="108"/>
      <c r="W11" s="108"/>
      <c r="X11" s="108"/>
      <c r="Y11" s="108"/>
      <c r="Z11" s="108"/>
    </row>
    <row r="12" spans="1:29">
      <c r="A12" s="246">
        <v>18</v>
      </c>
      <c r="B12" s="168" t="s">
        <v>6</v>
      </c>
      <c r="C12" s="126">
        <v>2326723</v>
      </c>
      <c r="D12" s="125">
        <f>+VLOOKUP(A12,'COEF Art 14 F I'!A$7:D$57,4,)</f>
        <v>2282515</v>
      </c>
      <c r="E12" s="131">
        <f t="shared" si="0"/>
        <v>0.98099988696548757</v>
      </c>
      <c r="F12" s="130">
        <f t="shared" si="1"/>
        <v>6.0757755313672154E-2</v>
      </c>
      <c r="G12" s="125">
        <v>960189</v>
      </c>
      <c r="H12" s="158">
        <f t="shared" si="2"/>
        <v>1.3771517899080283</v>
      </c>
      <c r="I12" s="129">
        <f t="shared" si="3"/>
        <v>1.3771517899080283</v>
      </c>
      <c r="J12" s="122">
        <f t="shared" si="4"/>
        <v>0.1418687320084081</v>
      </c>
      <c r="K12" s="128">
        <f t="shared" si="5"/>
        <v>7.8753252943284465E-4</v>
      </c>
      <c r="M12" s="127" t="s">
        <v>6</v>
      </c>
      <c r="N12" s="126">
        <f t="shared" si="6"/>
        <v>15225576.113471361</v>
      </c>
      <c r="O12" s="125">
        <f t="shared" si="7"/>
        <v>21330937.913991258</v>
      </c>
      <c r="P12" s="124">
        <f t="shared" si="8"/>
        <v>78940.615279881356</v>
      </c>
      <c r="Q12" s="123">
        <f t="shared" si="9"/>
        <v>36635454.6427425</v>
      </c>
      <c r="R12" s="122">
        <f t="shared" si="10"/>
        <v>7.3097003765245069E-2</v>
      </c>
      <c r="T12" s="108"/>
      <c r="U12" s="108"/>
      <c r="V12" s="108"/>
      <c r="W12" s="108"/>
      <c r="X12" s="108"/>
      <c r="Y12" s="108"/>
      <c r="Z12" s="108"/>
    </row>
    <row r="13" spans="1:29">
      <c r="A13" s="246">
        <v>19</v>
      </c>
      <c r="B13" s="168" t="s">
        <v>130</v>
      </c>
      <c r="C13" s="126">
        <v>118292323</v>
      </c>
      <c r="D13" s="125">
        <f>+VLOOKUP(A13,'COEF Art 14 F I'!A$7:D$57,4,)</f>
        <v>34565785.189999998</v>
      </c>
      <c r="E13" s="131">
        <f t="shared" si="0"/>
        <v>0.29220649585180603</v>
      </c>
      <c r="F13" s="130">
        <f t="shared" si="1"/>
        <v>1.8097668523639882E-2</v>
      </c>
      <c r="G13" s="125">
        <v>36285132.439999998</v>
      </c>
      <c r="H13" s="158">
        <f t="shared" si="2"/>
        <v>-4.7384345443497011E-2</v>
      </c>
      <c r="I13" s="129">
        <f t="shared" si="3"/>
        <v>0</v>
      </c>
      <c r="J13" s="122">
        <f t="shared" si="4"/>
        <v>0</v>
      </c>
      <c r="K13" s="128">
        <f t="shared" si="5"/>
        <v>1.1926178028408603E-2</v>
      </c>
      <c r="M13" s="127" t="s">
        <v>130</v>
      </c>
      <c r="N13" s="126">
        <f t="shared" si="6"/>
        <v>4535181.198852621</v>
      </c>
      <c r="O13" s="125">
        <f t="shared" si="7"/>
        <v>0</v>
      </c>
      <c r="P13" s="124">
        <f t="shared" si="8"/>
        <v>1195455.1670113059</v>
      </c>
      <c r="Q13" s="123">
        <f t="shared" si="9"/>
        <v>5730636.3658639267</v>
      </c>
      <c r="R13" s="122">
        <f t="shared" si="10"/>
        <v>1.1434069867501659E-2</v>
      </c>
      <c r="T13" s="108"/>
      <c r="U13" s="108"/>
      <c r="V13" s="108"/>
      <c r="W13" s="108"/>
      <c r="X13" s="108"/>
      <c r="Y13" s="108"/>
      <c r="Z13" s="108"/>
    </row>
    <row r="14" spans="1:29">
      <c r="A14" s="246">
        <v>20</v>
      </c>
      <c r="B14" s="168" t="s">
        <v>131</v>
      </c>
      <c r="C14" s="126">
        <v>45596306</v>
      </c>
      <c r="D14" s="125">
        <f>+VLOOKUP(A14,'COEF Art 14 F I'!A$7:D$57,4,)</f>
        <v>10430458.359999999</v>
      </c>
      <c r="E14" s="131">
        <f t="shared" si="0"/>
        <v>0.22875665322537311</v>
      </c>
      <c r="F14" s="130">
        <f t="shared" si="1"/>
        <v>1.4167933093279491E-2</v>
      </c>
      <c r="G14" s="174">
        <v>5537234.6300000008</v>
      </c>
      <c r="H14" s="158">
        <f t="shared" si="2"/>
        <v>0.88369448957231533</v>
      </c>
      <c r="I14" s="129">
        <f t="shared" si="3"/>
        <v>0.88369448957231533</v>
      </c>
      <c r="J14" s="122">
        <f t="shared" si="4"/>
        <v>9.1034712104476459E-2</v>
      </c>
      <c r="K14" s="128">
        <f t="shared" si="5"/>
        <v>3.5988045009100753E-3</v>
      </c>
      <c r="M14" s="127" t="s">
        <v>131</v>
      </c>
      <c r="N14" s="126">
        <f t="shared" si="6"/>
        <v>3550410.0269773277</v>
      </c>
      <c r="O14" s="125">
        <f t="shared" si="7"/>
        <v>13687694.000137875</v>
      </c>
      <c r="P14" s="124">
        <f t="shared" si="8"/>
        <v>360736.64382910175</v>
      </c>
      <c r="Q14" s="123">
        <f t="shared" si="9"/>
        <v>17598840.670944307</v>
      </c>
      <c r="R14" s="122">
        <f t="shared" si="10"/>
        <v>3.5114141078164698E-2</v>
      </c>
      <c r="T14" s="108"/>
      <c r="U14" s="108"/>
      <c r="V14" s="108"/>
      <c r="W14" s="108"/>
      <c r="X14" s="108"/>
      <c r="Y14" s="108"/>
      <c r="Z14" s="108"/>
    </row>
    <row r="15" spans="1:29">
      <c r="A15" s="246">
        <v>23</v>
      </c>
      <c r="B15" s="168" t="s">
        <v>132</v>
      </c>
      <c r="C15" s="126">
        <v>3975543</v>
      </c>
      <c r="D15" s="125">
        <f>+VLOOKUP(A15,'COEF Art 14 F I'!A$7:D$57,4,)</f>
        <v>1264344</v>
      </c>
      <c r="E15" s="131">
        <f t="shared" si="0"/>
        <v>0.31803051809526395</v>
      </c>
      <c r="F15" s="130">
        <f t="shared" si="1"/>
        <v>1.96970668982271E-2</v>
      </c>
      <c r="G15" s="125">
        <v>1064298</v>
      </c>
      <c r="H15" s="158">
        <f t="shared" si="2"/>
        <v>0.18796051481821818</v>
      </c>
      <c r="I15" s="129">
        <f t="shared" si="3"/>
        <v>0.18796051481821818</v>
      </c>
      <c r="J15" s="122">
        <f t="shared" si="4"/>
        <v>1.9362949022989732E-2</v>
      </c>
      <c r="K15" s="128">
        <f t="shared" si="5"/>
        <v>4.3623460454509196E-4</v>
      </c>
      <c r="M15" s="127" t="s">
        <v>132</v>
      </c>
      <c r="N15" s="126">
        <f t="shared" si="6"/>
        <v>4935982.077066768</v>
      </c>
      <c r="O15" s="125">
        <f t="shared" si="7"/>
        <v>2911352.3296782034</v>
      </c>
      <c r="P15" s="124">
        <f t="shared" si="8"/>
        <v>43727.245291017287</v>
      </c>
      <c r="Q15" s="123">
        <f t="shared" si="9"/>
        <v>7891061.6520359889</v>
      </c>
      <c r="R15" s="122">
        <f t="shared" si="10"/>
        <v>1.5744665076919486E-2</v>
      </c>
      <c r="T15" s="108"/>
      <c r="U15" s="108"/>
      <c r="V15" s="108"/>
      <c r="W15" s="108"/>
      <c r="X15" s="108"/>
      <c r="Y15" s="108"/>
      <c r="Z15" s="108"/>
    </row>
    <row r="16" spans="1:29">
      <c r="A16" s="246">
        <v>21</v>
      </c>
      <c r="B16" s="168" t="s">
        <v>7</v>
      </c>
      <c r="C16" s="126">
        <v>5498532</v>
      </c>
      <c r="D16" s="125">
        <f>+VLOOKUP(A16,'COEF Art 14 F I'!A$7:D$57,4,)</f>
        <v>1750296.04</v>
      </c>
      <c r="E16" s="131">
        <f t="shared" si="0"/>
        <v>0.3183206063000088</v>
      </c>
      <c r="F16" s="130">
        <f t="shared" si="1"/>
        <v>1.9715033371411707E-2</v>
      </c>
      <c r="G16" s="174">
        <v>1864847</v>
      </c>
      <c r="H16" s="158">
        <f t="shared" si="2"/>
        <v>-6.1426465549184406E-2</v>
      </c>
      <c r="I16" s="129">
        <f t="shared" si="3"/>
        <v>0</v>
      </c>
      <c r="J16" s="122">
        <f t="shared" si="4"/>
        <v>0</v>
      </c>
      <c r="K16" s="128">
        <f t="shared" si="5"/>
        <v>6.0390186598444767E-4</v>
      </c>
      <c r="M16" s="127" t="s">
        <v>7</v>
      </c>
      <c r="N16" s="126">
        <f t="shared" si="6"/>
        <v>4940484.3813989582</v>
      </c>
      <c r="O16" s="125">
        <f t="shared" si="7"/>
        <v>0</v>
      </c>
      <c r="P16" s="124">
        <f t="shared" si="8"/>
        <v>60533.861253722251</v>
      </c>
      <c r="Q16" s="123">
        <f t="shared" si="9"/>
        <v>5001018.2426526807</v>
      </c>
      <c r="R16" s="122">
        <f t="shared" si="10"/>
        <v>9.9782970589027426E-3</v>
      </c>
      <c r="T16" s="108"/>
      <c r="U16" s="108"/>
      <c r="V16" s="108"/>
      <c r="W16" s="108"/>
      <c r="X16" s="108"/>
      <c r="Y16" s="108"/>
      <c r="Z16" s="108"/>
    </row>
    <row r="17" spans="1:26">
      <c r="A17" s="246">
        <v>22</v>
      </c>
      <c r="B17" s="168" t="s">
        <v>133</v>
      </c>
      <c r="C17" s="126">
        <v>57370151</v>
      </c>
      <c r="D17" s="125">
        <f>+VLOOKUP(A17,'COEF Art 14 F I'!A$7:D$57,4,)</f>
        <v>15225307</v>
      </c>
      <c r="E17" s="131">
        <f t="shared" si="0"/>
        <v>0.26538725686812292</v>
      </c>
      <c r="F17" s="130">
        <f t="shared" si="1"/>
        <v>1.6436631879782612E-2</v>
      </c>
      <c r="G17" s="125">
        <v>14209085</v>
      </c>
      <c r="H17" s="158">
        <f t="shared" si="2"/>
        <v>7.1519172416802279E-2</v>
      </c>
      <c r="I17" s="129">
        <f t="shared" si="3"/>
        <v>7.1519172416802279E-2</v>
      </c>
      <c r="J17" s="122">
        <f t="shared" si="4"/>
        <v>7.3676223488335071E-3</v>
      </c>
      <c r="K17" s="128">
        <f t="shared" si="5"/>
        <v>5.253163520547114E-3</v>
      </c>
      <c r="M17" s="127" t="s">
        <v>133</v>
      </c>
      <c r="N17" s="126">
        <f t="shared" si="6"/>
        <v>4118934.0923268986</v>
      </c>
      <c r="O17" s="125">
        <f t="shared" si="7"/>
        <v>1107772.6055054027</v>
      </c>
      <c r="P17" s="124">
        <f t="shared" si="8"/>
        <v>526566.13533978292</v>
      </c>
      <c r="Q17" s="123">
        <f t="shared" si="9"/>
        <v>5753272.8331720838</v>
      </c>
      <c r="R17" s="122">
        <f t="shared" si="10"/>
        <v>1.1479235348650779E-2</v>
      </c>
      <c r="T17" s="108"/>
      <c r="U17" s="108"/>
      <c r="V17" s="108"/>
      <c r="W17" s="108"/>
      <c r="X17" s="108"/>
      <c r="Y17" s="108"/>
      <c r="Z17" s="108"/>
    </row>
    <row r="18" spans="1:26">
      <c r="A18" s="246">
        <v>25</v>
      </c>
      <c r="B18" s="168" t="s">
        <v>8</v>
      </c>
      <c r="C18" s="126">
        <v>7297681</v>
      </c>
      <c r="D18" s="125">
        <f>+VLOOKUP(A18,'COEF Art 14 F I'!A$7:D$57,4,)</f>
        <v>928327</v>
      </c>
      <c r="E18" s="131">
        <f t="shared" si="0"/>
        <v>0.12720849267047984</v>
      </c>
      <c r="F18" s="130">
        <f t="shared" si="1"/>
        <v>7.8785966993347688E-3</v>
      </c>
      <c r="G18" s="125">
        <v>838434</v>
      </c>
      <c r="H18" s="158">
        <f t="shared" si="2"/>
        <v>0.10721535624748046</v>
      </c>
      <c r="I18" s="129">
        <f t="shared" si="3"/>
        <v>0.10721535624748046</v>
      </c>
      <c r="J18" s="122">
        <f t="shared" si="4"/>
        <v>1.1044902060996216E-2</v>
      </c>
      <c r="K18" s="128">
        <f t="shared" si="5"/>
        <v>3.2029919209766613E-4</v>
      </c>
      <c r="M18" s="127" t="s">
        <v>8</v>
      </c>
      <c r="N18" s="126">
        <f t="shared" si="6"/>
        <v>1974335.179003434</v>
      </c>
      <c r="O18" s="125">
        <f t="shared" si="7"/>
        <v>1660676.8580638417</v>
      </c>
      <c r="P18" s="124">
        <f t="shared" si="8"/>
        <v>32106.121782738086</v>
      </c>
      <c r="Q18" s="123">
        <f t="shared" si="9"/>
        <v>3667118.1588500137</v>
      </c>
      <c r="R18" s="122">
        <f t="shared" si="10"/>
        <v>7.3168288063857811E-3</v>
      </c>
      <c r="T18" s="108"/>
      <c r="U18" s="108"/>
      <c r="V18" s="108"/>
      <c r="W18" s="108"/>
      <c r="X18" s="108"/>
      <c r="Y18" s="108"/>
      <c r="Z18" s="108"/>
    </row>
    <row r="19" spans="1:26">
      <c r="A19" s="246">
        <v>27</v>
      </c>
      <c r="B19" s="168" t="s">
        <v>9</v>
      </c>
      <c r="C19" s="126">
        <v>1700096</v>
      </c>
      <c r="D19" s="125">
        <f>+VLOOKUP(A19,'COEF Art 14 F I'!A$7:D$57,4,)</f>
        <v>292169</v>
      </c>
      <c r="E19" s="131">
        <f t="shared" si="0"/>
        <v>0.17185441292726999</v>
      </c>
      <c r="F19" s="130">
        <f t="shared" si="1"/>
        <v>1.064372025822383E-2</v>
      </c>
      <c r="G19" s="125">
        <v>363195</v>
      </c>
      <c r="H19" s="158">
        <f t="shared" si="2"/>
        <v>-0.19555885956579799</v>
      </c>
      <c r="I19" s="129">
        <f t="shared" si="3"/>
        <v>0</v>
      </c>
      <c r="J19" s="122">
        <f t="shared" si="4"/>
        <v>0</v>
      </c>
      <c r="K19" s="128">
        <f t="shared" si="5"/>
        <v>1.008066065685723E-4</v>
      </c>
      <c r="M19" s="127" t="s">
        <v>9</v>
      </c>
      <c r="N19" s="126">
        <f t="shared" si="6"/>
        <v>2667260.6992381229</v>
      </c>
      <c r="O19" s="125">
        <f t="shared" si="7"/>
        <v>0</v>
      </c>
      <c r="P19" s="124">
        <f t="shared" si="8"/>
        <v>10104.643617109925</v>
      </c>
      <c r="Q19" s="123">
        <f t="shared" si="9"/>
        <v>2677365.3428552328</v>
      </c>
      <c r="R19" s="122">
        <f t="shared" si="10"/>
        <v>5.3420214504256288E-3</v>
      </c>
      <c r="T19" s="108"/>
      <c r="U19" s="108"/>
      <c r="V19" s="108"/>
      <c r="W19" s="108"/>
      <c r="X19" s="108"/>
      <c r="Y19" s="108"/>
      <c r="Z19" s="108"/>
    </row>
    <row r="20" spans="1:26">
      <c r="A20" s="246">
        <v>26</v>
      </c>
      <c r="B20" s="168" t="s">
        <v>134</v>
      </c>
      <c r="C20" s="126">
        <v>2145081</v>
      </c>
      <c r="D20" s="125">
        <f>+VLOOKUP(A20,'COEF Art 14 F I'!A$7:D$57,4,)</f>
        <v>719516</v>
      </c>
      <c r="E20" s="131">
        <f t="shared" si="0"/>
        <v>0.33542602820126605</v>
      </c>
      <c r="F20" s="130">
        <f t="shared" si="1"/>
        <v>2.0774449434780001E-2</v>
      </c>
      <c r="G20" s="125">
        <v>1038863</v>
      </c>
      <c r="H20" s="158">
        <f t="shared" si="2"/>
        <v>-0.30740049457916974</v>
      </c>
      <c r="I20" s="129">
        <f t="shared" si="3"/>
        <v>0</v>
      </c>
      <c r="J20" s="122">
        <f t="shared" si="4"/>
        <v>0</v>
      </c>
      <c r="K20" s="128">
        <f t="shared" si="5"/>
        <v>2.4825346402867132E-4</v>
      </c>
      <c r="M20" s="127" t="s">
        <v>134</v>
      </c>
      <c r="N20" s="126">
        <f t="shared" si="6"/>
        <v>5205968.5130192451</v>
      </c>
      <c r="O20" s="125">
        <f t="shared" si="7"/>
        <v>0</v>
      </c>
      <c r="P20" s="124">
        <f t="shared" si="8"/>
        <v>24884.408533446272</v>
      </c>
      <c r="Q20" s="123">
        <f t="shared" si="9"/>
        <v>5230852.9215526916</v>
      </c>
      <c r="R20" s="122">
        <f t="shared" si="10"/>
        <v>1.0436875410195733E-2</v>
      </c>
      <c r="T20" s="108"/>
      <c r="U20" s="108"/>
      <c r="V20" s="108"/>
      <c r="W20" s="108"/>
      <c r="X20" s="108"/>
      <c r="Y20" s="108"/>
      <c r="Z20" s="108"/>
    </row>
    <row r="21" spans="1:26">
      <c r="A21" s="246">
        <v>29</v>
      </c>
      <c r="B21" s="168" t="s">
        <v>10</v>
      </c>
      <c r="C21" s="126">
        <v>10799410</v>
      </c>
      <c r="D21" s="125">
        <f>+VLOOKUP(A21,'COEF Art 14 F I'!A$7:D$57,4,)</f>
        <v>1519021</v>
      </c>
      <c r="E21" s="131">
        <f t="shared" si="0"/>
        <v>0.14065777667483687</v>
      </c>
      <c r="F21" s="130">
        <f t="shared" si="1"/>
        <v>8.7115716237340796E-3</v>
      </c>
      <c r="G21" s="125">
        <v>1281029</v>
      </c>
      <c r="H21" s="158">
        <f t="shared" si="2"/>
        <v>0.1857818987704416</v>
      </c>
      <c r="I21" s="129">
        <f t="shared" si="3"/>
        <v>0.1857818987704416</v>
      </c>
      <c r="J21" s="122">
        <f t="shared" si="4"/>
        <v>1.9138516612200885E-2</v>
      </c>
      <c r="K21" s="128">
        <f t="shared" si="5"/>
        <v>5.2410540583155388E-4</v>
      </c>
      <c r="M21" s="127" t="s">
        <v>10</v>
      </c>
      <c r="N21" s="126">
        <f t="shared" si="6"/>
        <v>2183074.3440133836</v>
      </c>
      <c r="O21" s="125">
        <f t="shared" si="7"/>
        <v>2877607.3757856111</v>
      </c>
      <c r="P21" s="124">
        <f t="shared" si="8"/>
        <v>52535.230814720024</v>
      </c>
      <c r="Q21" s="123">
        <f t="shared" si="9"/>
        <v>5113216.9506137148</v>
      </c>
      <c r="R21" s="122">
        <f t="shared" si="10"/>
        <v>1.0202161876693615E-2</v>
      </c>
      <c r="T21" s="108"/>
      <c r="U21" s="108"/>
      <c r="V21" s="108"/>
      <c r="W21" s="108"/>
      <c r="X21" s="108"/>
      <c r="Y21" s="108"/>
      <c r="Z21" s="108"/>
    </row>
    <row r="22" spans="1:26">
      <c r="A22" s="246">
        <v>30</v>
      </c>
      <c r="B22" s="168" t="s">
        <v>135</v>
      </c>
      <c r="C22" s="126">
        <v>440237925</v>
      </c>
      <c r="D22" s="125">
        <f>+VLOOKUP(A22,'COEF Art 14 F I'!A$7:D$57,4,)</f>
        <v>99582374</v>
      </c>
      <c r="E22" s="131">
        <f t="shared" si="0"/>
        <v>0.22620126151103406</v>
      </c>
      <c r="F22" s="130">
        <f t="shared" si="1"/>
        <v>1.4009666138743278E-2</v>
      </c>
      <c r="G22" s="125">
        <v>103525907.24000001</v>
      </c>
      <c r="H22" s="158">
        <f t="shared" si="2"/>
        <v>-3.8092235510265748E-2</v>
      </c>
      <c r="I22" s="129">
        <f t="shared" si="3"/>
        <v>0</v>
      </c>
      <c r="J22" s="122">
        <f t="shared" si="4"/>
        <v>0</v>
      </c>
      <c r="K22" s="128">
        <f t="shared" si="5"/>
        <v>3.4358748522199216E-2</v>
      </c>
      <c r="M22" s="127" t="s">
        <v>135</v>
      </c>
      <c r="N22" s="126">
        <f t="shared" si="6"/>
        <v>3510749.1548779896</v>
      </c>
      <c r="O22" s="125">
        <f t="shared" si="7"/>
        <v>0</v>
      </c>
      <c r="P22" s="124">
        <f t="shared" si="8"/>
        <v>3444049.1626960873</v>
      </c>
      <c r="Q22" s="123">
        <f t="shared" si="9"/>
        <v>6954798.3175740764</v>
      </c>
      <c r="R22" s="122">
        <f t="shared" si="10"/>
        <v>1.387658277381148E-2</v>
      </c>
      <c r="T22" s="108"/>
      <c r="U22" s="108"/>
      <c r="V22" s="108"/>
      <c r="W22" s="108"/>
      <c r="X22" s="108"/>
      <c r="Y22" s="108"/>
      <c r="Z22" s="108"/>
    </row>
    <row r="23" spans="1:26">
      <c r="A23" s="246">
        <v>32</v>
      </c>
      <c r="B23" s="168" t="s">
        <v>11</v>
      </c>
      <c r="C23" s="126">
        <v>4036392</v>
      </c>
      <c r="D23" s="125">
        <f>+VLOOKUP(A23,'COEF Art 14 F I'!A$7:D$57,4,)</f>
        <v>940088</v>
      </c>
      <c r="E23" s="131">
        <f t="shared" si="0"/>
        <v>0.23290304806867124</v>
      </c>
      <c r="F23" s="130">
        <f t="shared" si="1"/>
        <v>1.4424738059997945E-2</v>
      </c>
      <c r="G23" s="125">
        <v>3566422</v>
      </c>
      <c r="H23" s="158">
        <f t="shared" si="2"/>
        <v>-0.73640584316718549</v>
      </c>
      <c r="I23" s="129">
        <f t="shared" si="3"/>
        <v>0</v>
      </c>
      <c r="J23" s="122">
        <f t="shared" si="4"/>
        <v>0</v>
      </c>
      <c r="K23" s="128">
        <f t="shared" si="5"/>
        <v>3.2435707126983357E-4</v>
      </c>
      <c r="M23" s="127" t="s">
        <v>11</v>
      </c>
      <c r="N23" s="126">
        <f t="shared" si="6"/>
        <v>3614764.0102162287</v>
      </c>
      <c r="O23" s="125">
        <f t="shared" si="7"/>
        <v>0</v>
      </c>
      <c r="P23" s="124">
        <f t="shared" si="8"/>
        <v>32512.875112423408</v>
      </c>
      <c r="Q23" s="123">
        <f t="shared" si="9"/>
        <v>3647276.8853286519</v>
      </c>
      <c r="R23" s="122">
        <f t="shared" si="10"/>
        <v>7.2772404442529382E-3</v>
      </c>
      <c r="T23" s="108"/>
      <c r="U23" s="108"/>
      <c r="V23" s="108"/>
      <c r="W23" s="108"/>
      <c r="X23" s="108"/>
      <c r="Y23" s="108"/>
      <c r="Z23" s="108"/>
    </row>
    <row r="24" spans="1:26">
      <c r="A24" s="246">
        <v>33</v>
      </c>
      <c r="B24" s="168" t="s">
        <v>12</v>
      </c>
      <c r="C24" s="126">
        <v>478336774</v>
      </c>
      <c r="D24" s="125">
        <f>+VLOOKUP(A24,'COEF Art 14 F I'!A$7:D$57,4,)</f>
        <v>167034920.86000001</v>
      </c>
      <c r="E24" s="131">
        <f t="shared" si="0"/>
        <v>0.34919941334052651</v>
      </c>
      <c r="F24" s="130">
        <f t="shared" si="1"/>
        <v>2.1627497406804481E-2</v>
      </c>
      <c r="G24" s="174">
        <v>154603349.86000001</v>
      </c>
      <c r="H24" s="158">
        <f t="shared" si="2"/>
        <v>8.0409454331082264E-2</v>
      </c>
      <c r="I24" s="129">
        <f t="shared" si="3"/>
        <v>8.0409454331082264E-2</v>
      </c>
      <c r="J24" s="122">
        <f t="shared" si="4"/>
        <v>8.2834640386304E-3</v>
      </c>
      <c r="K24" s="128">
        <f t="shared" si="5"/>
        <v>5.7631793757539754E-2</v>
      </c>
      <c r="M24" s="127" t="s">
        <v>12</v>
      </c>
      <c r="N24" s="126">
        <f t="shared" si="6"/>
        <v>5419737.8789124982</v>
      </c>
      <c r="O24" s="125">
        <f t="shared" si="7"/>
        <v>1245475.6916438236</v>
      </c>
      <c r="P24" s="124">
        <f t="shared" si="8"/>
        <v>5776890.5903859083</v>
      </c>
      <c r="Q24" s="123">
        <f t="shared" si="9"/>
        <v>12442104.16094223</v>
      </c>
      <c r="R24" s="122">
        <f t="shared" si="10"/>
        <v>2.482514666649931E-2</v>
      </c>
      <c r="T24" s="108"/>
      <c r="U24" s="108"/>
      <c r="V24" s="108"/>
      <c r="W24" s="108"/>
      <c r="X24" s="108"/>
      <c r="Y24" s="108"/>
      <c r="Z24" s="108"/>
    </row>
    <row r="25" spans="1:26">
      <c r="A25" s="246">
        <v>34</v>
      </c>
      <c r="B25" s="168" t="s">
        <v>136</v>
      </c>
      <c r="C25" s="126">
        <v>13247928</v>
      </c>
      <c r="D25" s="125">
        <f>+VLOOKUP(A25,'COEF Art 14 F I'!A$7:D$57,4,)</f>
        <v>4545524</v>
      </c>
      <c r="E25" s="131">
        <f t="shared" si="0"/>
        <v>0.34311207005352085</v>
      </c>
      <c r="F25" s="130">
        <f t="shared" si="1"/>
        <v>2.1250480733452686E-2</v>
      </c>
      <c r="G25" s="125">
        <v>4608992</v>
      </c>
      <c r="H25" s="158">
        <f t="shared" si="2"/>
        <v>-1.3770473023168583E-2</v>
      </c>
      <c r="I25" s="129">
        <f t="shared" si="3"/>
        <v>0</v>
      </c>
      <c r="J25" s="122">
        <f t="shared" si="4"/>
        <v>0</v>
      </c>
      <c r="K25" s="128">
        <f t="shared" si="5"/>
        <v>1.56833493463031E-3</v>
      </c>
      <c r="M25" s="127" t="s">
        <v>136</v>
      </c>
      <c r="N25" s="126">
        <f t="shared" si="6"/>
        <v>5325259.4699171316</v>
      </c>
      <c r="O25" s="125">
        <f t="shared" si="7"/>
        <v>0</v>
      </c>
      <c r="P25" s="124">
        <f t="shared" si="8"/>
        <v>157206.61696832988</v>
      </c>
      <c r="Q25" s="123">
        <f t="shared" si="9"/>
        <v>5482466.0868854616</v>
      </c>
      <c r="R25" s="122">
        <f t="shared" si="10"/>
        <v>1.0938907353652404E-2</v>
      </c>
      <c r="T25" s="108"/>
      <c r="U25" s="108"/>
      <c r="V25" s="108"/>
      <c r="W25" s="108"/>
      <c r="X25" s="108"/>
      <c r="Y25" s="108"/>
      <c r="Z25" s="108"/>
    </row>
    <row r="26" spans="1:26">
      <c r="A26" s="246">
        <v>35</v>
      </c>
      <c r="B26" s="168" t="s">
        <v>13</v>
      </c>
      <c r="C26" s="126">
        <v>882296</v>
      </c>
      <c r="D26" s="125">
        <f>+VLOOKUP(A26,'COEF Art 14 F I'!A$7:D$57,4,)</f>
        <v>298339</v>
      </c>
      <c r="E26" s="131">
        <f t="shared" si="0"/>
        <v>0.33813935459301642</v>
      </c>
      <c r="F26" s="130">
        <f t="shared" si="1"/>
        <v>2.094249799746235E-2</v>
      </c>
      <c r="G26" s="174">
        <v>246797</v>
      </c>
      <c r="H26" s="158">
        <f t="shared" si="2"/>
        <v>0.20884370555557807</v>
      </c>
      <c r="I26" s="129">
        <f t="shared" si="3"/>
        <v>0.20884370555557807</v>
      </c>
      <c r="J26" s="122">
        <f t="shared" si="4"/>
        <v>2.1514252758648995E-2</v>
      </c>
      <c r="K26" s="128">
        <f t="shared" si="5"/>
        <v>1.0293543188038871E-4</v>
      </c>
      <c r="M26" s="127" t="s">
        <v>13</v>
      </c>
      <c r="N26" s="126">
        <f t="shared" si="6"/>
        <v>5248080.6050257748</v>
      </c>
      <c r="O26" s="125">
        <f t="shared" si="7"/>
        <v>3234815.6169708921</v>
      </c>
      <c r="P26" s="124">
        <f t="shared" si="8"/>
        <v>10318.032618398795</v>
      </c>
      <c r="Q26" s="123">
        <f t="shared" si="9"/>
        <v>8493214.2546150666</v>
      </c>
      <c r="R26" s="122">
        <f t="shared" si="10"/>
        <v>1.6946111912701952E-2</v>
      </c>
      <c r="T26" s="108"/>
      <c r="U26" s="108"/>
      <c r="V26" s="108"/>
      <c r="W26" s="108"/>
      <c r="X26" s="108"/>
      <c r="Y26" s="108"/>
      <c r="Z26" s="108"/>
    </row>
    <row r="27" spans="1:26">
      <c r="A27" s="246">
        <v>61</v>
      </c>
      <c r="B27" s="127" t="s">
        <v>14</v>
      </c>
      <c r="C27" s="126">
        <v>1693362</v>
      </c>
      <c r="D27" s="125">
        <f>+VLOOKUP(A27,'COEF Art 14 F I'!A$7:D$57,4,)</f>
        <v>227416</v>
      </c>
      <c r="E27" s="131">
        <f t="shared" si="0"/>
        <v>0.13429851384405697</v>
      </c>
      <c r="F27" s="130">
        <f t="shared" si="1"/>
        <v>8.3177137444604924E-3</v>
      </c>
      <c r="G27" s="125">
        <v>165744</v>
      </c>
      <c r="H27" s="158">
        <f t="shared" si="2"/>
        <v>0.37209190076262177</v>
      </c>
      <c r="I27" s="129">
        <f t="shared" si="3"/>
        <v>0.37209190076262177</v>
      </c>
      <c r="J27" s="122">
        <f t="shared" si="4"/>
        <v>3.8331436330135388E-2</v>
      </c>
      <c r="K27" s="128">
        <f t="shared" si="5"/>
        <v>7.8464981703734607E-5</v>
      </c>
      <c r="M27" s="127" t="s">
        <v>14</v>
      </c>
      <c r="N27" s="126">
        <f t="shared" si="6"/>
        <v>2084375.6167840553</v>
      </c>
      <c r="O27" s="125">
        <f t="shared" si="7"/>
        <v>5763394.6320445547</v>
      </c>
      <c r="P27" s="124">
        <f t="shared" si="8"/>
        <v>7865.1658212495859</v>
      </c>
      <c r="Q27" s="123">
        <f t="shared" si="9"/>
        <v>7855635.41464986</v>
      </c>
      <c r="R27" s="122">
        <f t="shared" si="10"/>
        <v>1.567398076761161E-2</v>
      </c>
      <c r="T27" s="108"/>
      <c r="U27" s="108"/>
      <c r="V27" s="108"/>
      <c r="W27" s="108"/>
      <c r="X27" s="108"/>
      <c r="Y27" s="108"/>
      <c r="Z27" s="108"/>
    </row>
    <row r="28" spans="1:26">
      <c r="A28" s="246">
        <v>36</v>
      </c>
      <c r="B28" s="127" t="s">
        <v>15</v>
      </c>
      <c r="C28" s="126">
        <v>71592167</v>
      </c>
      <c r="D28" s="125">
        <f>+VLOOKUP(A28,'COEF Art 14 F I'!A$7:D$57,4,)</f>
        <v>16361057</v>
      </c>
      <c r="E28" s="131">
        <f t="shared" si="0"/>
        <v>0.22853138388729036</v>
      </c>
      <c r="F28" s="130">
        <f t="shared" si="1"/>
        <v>1.4153981145369239E-2</v>
      </c>
      <c r="G28" s="125">
        <v>12472493</v>
      </c>
      <c r="H28" s="158">
        <f t="shared" si="2"/>
        <v>0.31177119121253472</v>
      </c>
      <c r="I28" s="129">
        <f t="shared" si="3"/>
        <v>0.31177119121253472</v>
      </c>
      <c r="J28" s="122">
        <f t="shared" si="4"/>
        <v>3.2117435346053713E-2</v>
      </c>
      <c r="K28" s="128">
        <f t="shared" si="5"/>
        <v>5.6450295412757198E-3</v>
      </c>
      <c r="M28" s="127" t="s">
        <v>15</v>
      </c>
      <c r="N28" s="126">
        <f t="shared" si="6"/>
        <v>3546913.7417090186</v>
      </c>
      <c r="O28" s="125">
        <f t="shared" si="7"/>
        <v>4829076.9193785181</v>
      </c>
      <c r="P28" s="124">
        <f t="shared" si="8"/>
        <v>565845.96649275464</v>
      </c>
      <c r="Q28" s="123">
        <f t="shared" si="9"/>
        <v>8941836.6275802925</v>
      </c>
      <c r="R28" s="122">
        <f t="shared" si="10"/>
        <v>1.7841227084755877E-2</v>
      </c>
      <c r="T28" s="108"/>
      <c r="U28" s="108"/>
      <c r="V28" s="108"/>
      <c r="W28" s="108"/>
      <c r="X28" s="108"/>
      <c r="Y28" s="108"/>
      <c r="Z28" s="108"/>
    </row>
    <row r="29" spans="1:26">
      <c r="A29" s="246">
        <v>28</v>
      </c>
      <c r="B29" s="127" t="s">
        <v>16</v>
      </c>
      <c r="C29" s="126">
        <v>935771643</v>
      </c>
      <c r="D29" s="125">
        <f>+VLOOKUP(A29,'COEF Art 14 F I'!A$7:D$57,4,)</f>
        <v>367511761.92000002</v>
      </c>
      <c r="E29" s="131">
        <f t="shared" si="0"/>
        <v>0.39273658768050529</v>
      </c>
      <c r="F29" s="130">
        <f t="shared" si="1"/>
        <v>2.4323951321574586E-2</v>
      </c>
      <c r="G29" s="125">
        <v>210861820.25999999</v>
      </c>
      <c r="H29" s="158">
        <f t="shared" si="2"/>
        <v>0.74290329784142606</v>
      </c>
      <c r="I29" s="129">
        <f t="shared" si="3"/>
        <v>0.74290329784142606</v>
      </c>
      <c r="J29" s="122">
        <f t="shared" si="4"/>
        <v>7.6530960233996095E-2</v>
      </c>
      <c r="K29" s="128">
        <f t="shared" si="5"/>
        <v>0.12680200018890522</v>
      </c>
      <c r="M29" s="127" t="s">
        <v>16</v>
      </c>
      <c r="N29" s="126">
        <f t="shared" si="6"/>
        <v>6095455.1450268626</v>
      </c>
      <c r="O29" s="125">
        <f t="shared" si="7"/>
        <v>11506955.325101184</v>
      </c>
      <c r="P29" s="124">
        <f t="shared" si="8"/>
        <v>12710367.558836667</v>
      </c>
      <c r="Q29" s="123">
        <f t="shared" si="9"/>
        <v>30312778.028964713</v>
      </c>
      <c r="R29" s="122">
        <f t="shared" si="10"/>
        <v>6.0481663768767166E-2</v>
      </c>
      <c r="T29" s="108"/>
      <c r="U29" s="108"/>
      <c r="V29" s="108"/>
      <c r="W29" s="108"/>
      <c r="X29" s="108"/>
      <c r="Y29" s="108"/>
      <c r="Z29" s="108"/>
    </row>
    <row r="30" spans="1:26">
      <c r="A30" s="246">
        <v>37</v>
      </c>
      <c r="B30" s="127" t="s">
        <v>137</v>
      </c>
      <c r="C30" s="126">
        <v>1080036</v>
      </c>
      <c r="D30" s="125">
        <f>+VLOOKUP(A30,'COEF Art 14 F I'!A$7:D$57,4,)</f>
        <v>291621.78000000003</v>
      </c>
      <c r="E30" s="131">
        <f t="shared" si="0"/>
        <v>0.27001116629445687</v>
      </c>
      <c r="F30" s="130">
        <f t="shared" si="1"/>
        <v>1.6723011482115496E-2</v>
      </c>
      <c r="G30" s="125">
        <v>297293.69</v>
      </c>
      <c r="H30" s="158">
        <f t="shared" si="2"/>
        <v>-1.9078474218541142E-2</v>
      </c>
      <c r="I30" s="129">
        <f t="shared" si="3"/>
        <v>0</v>
      </c>
      <c r="J30" s="122">
        <f t="shared" si="4"/>
        <v>0</v>
      </c>
      <c r="K30" s="128">
        <f t="shared" si="5"/>
        <v>1.006178001200906E-4</v>
      </c>
      <c r="M30" s="127" t="s">
        <v>137</v>
      </c>
      <c r="N30" s="126">
        <f t="shared" si="6"/>
        <v>4190699.3247676664</v>
      </c>
      <c r="O30" s="125">
        <f t="shared" si="7"/>
        <v>0</v>
      </c>
      <c r="P30" s="124">
        <f t="shared" si="8"/>
        <v>10085.718053206312</v>
      </c>
      <c r="Q30" s="123">
        <f t="shared" si="9"/>
        <v>4200785.0428208727</v>
      </c>
      <c r="R30" s="122">
        <f t="shared" si="10"/>
        <v>8.3816293010817652E-3</v>
      </c>
      <c r="T30" s="108"/>
      <c r="U30" s="108"/>
      <c r="V30" s="108"/>
      <c r="W30" s="108"/>
      <c r="X30" s="108"/>
      <c r="Y30" s="108"/>
      <c r="Z30" s="108"/>
    </row>
    <row r="31" spans="1:26">
      <c r="A31" s="246">
        <v>39</v>
      </c>
      <c r="B31" s="127" t="s">
        <v>17</v>
      </c>
      <c r="C31" s="126">
        <v>2480480</v>
      </c>
      <c r="D31" s="125">
        <f>+VLOOKUP(A31,'COEF Art 14 F I'!A$7:D$57,4,)</f>
        <v>630053</v>
      </c>
      <c r="E31" s="131">
        <f t="shared" si="0"/>
        <v>0.2540044668773786</v>
      </c>
      <c r="F31" s="130">
        <f t="shared" si="1"/>
        <v>1.573164426639577E-2</v>
      </c>
      <c r="G31" s="125">
        <v>539788</v>
      </c>
      <c r="H31" s="158">
        <f t="shared" si="2"/>
        <v>0.16722305794126591</v>
      </c>
      <c r="I31" s="129">
        <f t="shared" si="3"/>
        <v>0.16722305794126591</v>
      </c>
      <c r="J31" s="122">
        <f t="shared" si="4"/>
        <v>1.7226658213384247E-2</v>
      </c>
      <c r="K31" s="128">
        <f t="shared" si="5"/>
        <v>2.1738618706416041E-4</v>
      </c>
      <c r="M31" s="127" t="s">
        <v>17</v>
      </c>
      <c r="N31" s="126">
        <f t="shared" si="6"/>
        <v>3942267.8789149541</v>
      </c>
      <c r="O31" s="125">
        <f t="shared" si="7"/>
        <v>2590146.3388949488</v>
      </c>
      <c r="P31" s="124">
        <f t="shared" si="8"/>
        <v>21790.337184612188</v>
      </c>
      <c r="Q31" s="123">
        <f t="shared" si="9"/>
        <v>6554204.5549945151</v>
      </c>
      <c r="R31" s="122">
        <f t="shared" si="10"/>
        <v>1.3077296834625989E-2</v>
      </c>
      <c r="T31" s="108"/>
      <c r="U31" s="108"/>
      <c r="V31" s="108"/>
      <c r="W31" s="108"/>
      <c r="X31" s="108"/>
      <c r="Y31" s="108"/>
      <c r="Z31" s="108"/>
    </row>
    <row r="32" spans="1:26">
      <c r="A32" s="246">
        <v>38</v>
      </c>
      <c r="B32" s="127" t="s">
        <v>18</v>
      </c>
      <c r="C32" s="126">
        <v>669013</v>
      </c>
      <c r="D32" s="125">
        <f>+VLOOKUP(A32,'COEF Art 14 F I'!A$7:D$57,4,)</f>
        <v>344639</v>
      </c>
      <c r="E32" s="131">
        <f t="shared" si="0"/>
        <v>0.51514544560419606</v>
      </c>
      <c r="F32" s="130">
        <f t="shared" si="1"/>
        <v>3.1905284955525672E-2</v>
      </c>
      <c r="G32" s="125">
        <v>419888</v>
      </c>
      <c r="H32" s="158">
        <f t="shared" si="2"/>
        <v>-0.17921207560111263</v>
      </c>
      <c r="I32" s="129">
        <f t="shared" si="3"/>
        <v>0</v>
      </c>
      <c r="J32" s="122">
        <f t="shared" si="4"/>
        <v>0</v>
      </c>
      <c r="K32" s="128">
        <f t="shared" si="5"/>
        <v>1.1891024742935146E-4</v>
      </c>
      <c r="M32" s="127" t="s">
        <v>18</v>
      </c>
      <c r="N32" s="126">
        <f t="shared" si="6"/>
        <v>7995297.7525987681</v>
      </c>
      <c r="O32" s="125">
        <f t="shared" si="7"/>
        <v>0</v>
      </c>
      <c r="P32" s="124">
        <f t="shared" si="8"/>
        <v>11919.314751247213</v>
      </c>
      <c r="Q32" s="123">
        <f t="shared" si="9"/>
        <v>8007217.067350015</v>
      </c>
      <c r="R32" s="122">
        <f t="shared" si="10"/>
        <v>1.5976424527248703E-2</v>
      </c>
      <c r="T32" s="108"/>
      <c r="U32" s="108"/>
      <c r="V32" s="108"/>
      <c r="W32" s="108"/>
      <c r="X32" s="108"/>
      <c r="Y32" s="108"/>
      <c r="Z32" s="108"/>
    </row>
    <row r="33" spans="1:26">
      <c r="A33" s="246">
        <v>40</v>
      </c>
      <c r="B33" s="127" t="s">
        <v>19</v>
      </c>
      <c r="C33" s="126">
        <v>2153132</v>
      </c>
      <c r="D33" s="125">
        <f>+VLOOKUP(A33,'COEF Art 14 F I'!A$7:D$57,4,)</f>
        <v>650893</v>
      </c>
      <c r="E33" s="131">
        <f t="shared" si="0"/>
        <v>0.3023005556556681</v>
      </c>
      <c r="F33" s="130">
        <f t="shared" si="1"/>
        <v>1.8722839253864646E-2</v>
      </c>
      <c r="G33" s="125">
        <v>656691</v>
      </c>
      <c r="H33" s="158">
        <f t="shared" si="2"/>
        <v>-8.829114454134479E-3</v>
      </c>
      <c r="I33" s="129">
        <f t="shared" si="3"/>
        <v>0</v>
      </c>
      <c r="J33" s="122">
        <f t="shared" si="4"/>
        <v>0</v>
      </c>
      <c r="K33" s="128">
        <f t="shared" si="5"/>
        <v>2.2457657920326156E-4</v>
      </c>
      <c r="M33" s="127" t="s">
        <v>19</v>
      </c>
      <c r="N33" s="126">
        <f t="shared" si="6"/>
        <v>4691845.7182676373</v>
      </c>
      <c r="O33" s="125">
        <f t="shared" si="7"/>
        <v>0</v>
      </c>
      <c r="P33" s="124">
        <f t="shared" si="8"/>
        <v>22511.087069030353</v>
      </c>
      <c r="Q33" s="123">
        <f t="shared" si="9"/>
        <v>4714356.8053366672</v>
      </c>
      <c r="R33" s="122">
        <f t="shared" si="10"/>
        <v>9.4063349427729731E-3</v>
      </c>
      <c r="T33" s="108"/>
      <c r="U33" s="108"/>
      <c r="V33" s="108"/>
      <c r="W33" s="108"/>
      <c r="X33" s="108"/>
      <c r="Y33" s="108"/>
      <c r="Z33" s="108"/>
    </row>
    <row r="34" spans="1:26">
      <c r="A34" s="246">
        <v>41</v>
      </c>
      <c r="B34" s="127" t="s">
        <v>20</v>
      </c>
      <c r="C34" s="126">
        <v>643163</v>
      </c>
      <c r="D34" s="125">
        <f>+VLOOKUP(A34,'COEF Art 14 F I'!A$7:D$57,4,)</f>
        <v>121874</v>
      </c>
      <c r="E34" s="131">
        <f t="shared" si="0"/>
        <v>0.18949162187501459</v>
      </c>
      <c r="F34" s="130">
        <f t="shared" si="1"/>
        <v>1.1736072296079748E-2</v>
      </c>
      <c r="G34" s="125">
        <v>129046</v>
      </c>
      <c r="H34" s="158">
        <f t="shared" si="2"/>
        <v>-5.5577081040869114E-2</v>
      </c>
      <c r="I34" s="129">
        <f t="shared" si="3"/>
        <v>0</v>
      </c>
      <c r="J34" s="122">
        <f t="shared" si="4"/>
        <v>0</v>
      </c>
      <c r="K34" s="128">
        <f t="shared" si="5"/>
        <v>4.2049992877198403E-5</v>
      </c>
      <c r="M34" s="127" t="s">
        <v>20</v>
      </c>
      <c r="N34" s="126">
        <f t="shared" si="6"/>
        <v>2940998.414023946</v>
      </c>
      <c r="O34" s="125">
        <f t="shared" si="7"/>
        <v>0</v>
      </c>
      <c r="P34" s="124">
        <f t="shared" si="8"/>
        <v>4215.003426755251</v>
      </c>
      <c r="Q34" s="123">
        <f t="shared" si="9"/>
        <v>2945213.4174507014</v>
      </c>
      <c r="R34" s="122">
        <f t="shared" si="10"/>
        <v>5.8764461466153124E-3</v>
      </c>
      <c r="T34" s="108"/>
      <c r="U34" s="108"/>
      <c r="V34" s="108"/>
      <c r="W34" s="108"/>
      <c r="X34" s="108"/>
      <c r="Y34" s="108"/>
      <c r="Z34" s="108"/>
    </row>
    <row r="35" spans="1:26">
      <c r="A35" s="246">
        <v>42</v>
      </c>
      <c r="B35" s="127" t="s">
        <v>138</v>
      </c>
      <c r="C35" s="126">
        <v>658051524</v>
      </c>
      <c r="D35" s="125">
        <f>+VLOOKUP(A35,'COEF Art 14 F I'!A$7:D$57,4,)</f>
        <v>127211041.94</v>
      </c>
      <c r="E35" s="131">
        <f t="shared" si="0"/>
        <v>0.19331471366670674</v>
      </c>
      <c r="F35" s="130">
        <f t="shared" si="1"/>
        <v>1.1972853644077509E-2</v>
      </c>
      <c r="G35" s="125">
        <v>116809127.09999999</v>
      </c>
      <c r="H35" s="158">
        <f t="shared" si="2"/>
        <v>8.9050531394648136E-2</v>
      </c>
      <c r="I35" s="129">
        <f t="shared" si="3"/>
        <v>8.9050531394648136E-2</v>
      </c>
      <c r="J35" s="122">
        <f t="shared" si="4"/>
        <v>9.1736336300861816E-3</v>
      </c>
      <c r="K35" s="128">
        <f t="shared" si="5"/>
        <v>4.3891423990990594E-2</v>
      </c>
      <c r="M35" s="127" t="s">
        <v>138</v>
      </c>
      <c r="N35" s="126">
        <f t="shared" si="6"/>
        <v>3000334.5830048136</v>
      </c>
      <c r="O35" s="125">
        <f t="shared" si="7"/>
        <v>1379318.8015345982</v>
      </c>
      <c r="P35" s="124">
        <f t="shared" si="8"/>
        <v>4399584.6341156112</v>
      </c>
      <c r="Q35" s="123">
        <f t="shared" si="9"/>
        <v>8779238.0186550245</v>
      </c>
      <c r="R35" s="122">
        <f t="shared" si="10"/>
        <v>1.751680170926273E-2</v>
      </c>
      <c r="T35" s="108"/>
      <c r="U35" s="108"/>
      <c r="V35" s="108"/>
      <c r="W35" s="108"/>
      <c r="X35" s="108"/>
      <c r="Y35" s="108"/>
      <c r="Z35" s="108"/>
    </row>
    <row r="36" spans="1:26">
      <c r="A36" s="246">
        <v>43</v>
      </c>
      <c r="B36" s="127" t="s">
        <v>21</v>
      </c>
      <c r="C36" s="126">
        <v>4730111</v>
      </c>
      <c r="D36" s="125">
        <f>+VLOOKUP(A36,'COEF Art 14 F I'!A$7:D$57,4,)</f>
        <v>2452655</v>
      </c>
      <c r="E36" s="131">
        <f t="shared" si="0"/>
        <v>0.51851954425593816</v>
      </c>
      <c r="F36" s="130">
        <f t="shared" si="1"/>
        <v>3.2114258129743729E-2</v>
      </c>
      <c r="G36" s="125">
        <v>1176027</v>
      </c>
      <c r="H36" s="158">
        <f t="shared" si="2"/>
        <v>1.0855431040273733</v>
      </c>
      <c r="I36" s="129">
        <f t="shared" si="3"/>
        <v>1.0855431040273733</v>
      </c>
      <c r="J36" s="122">
        <f t="shared" si="4"/>
        <v>0.11182835823719908</v>
      </c>
      <c r="K36" s="128">
        <f t="shared" si="5"/>
        <v>8.4623566372011303E-4</v>
      </c>
      <c r="M36" s="127" t="s">
        <v>21</v>
      </c>
      <c r="N36" s="126">
        <f t="shared" si="6"/>
        <v>8047665.3384864377</v>
      </c>
      <c r="O36" s="125">
        <f t="shared" si="7"/>
        <v>16814161.463287704</v>
      </c>
      <c r="P36" s="124">
        <f t="shared" si="8"/>
        <v>84824.894806508368</v>
      </c>
      <c r="Q36" s="123">
        <f t="shared" si="9"/>
        <v>24946651.696580648</v>
      </c>
      <c r="R36" s="122">
        <f t="shared" si="10"/>
        <v>4.9774883668775603E-2</v>
      </c>
      <c r="T36" s="108"/>
      <c r="U36" s="108"/>
      <c r="V36" s="108"/>
      <c r="W36" s="108"/>
      <c r="X36" s="108"/>
      <c r="Y36" s="108"/>
      <c r="Z36" s="108"/>
    </row>
    <row r="37" spans="1:26">
      <c r="A37" s="246">
        <v>44</v>
      </c>
      <c r="B37" s="127" t="s">
        <v>22</v>
      </c>
      <c r="C37" s="126">
        <v>40442549</v>
      </c>
      <c r="D37" s="125">
        <f>+VLOOKUP(A37,'COEF Art 14 F I'!A$7:D$57,4,)</f>
        <v>11225818</v>
      </c>
      <c r="E37" s="131">
        <f t="shared" ref="E37:E55" si="11">IFERROR(D37/C37,0)</f>
        <v>0.27757444269895054</v>
      </c>
      <c r="F37" s="130">
        <f t="shared" ref="F37:F55" si="12">IFERROR(E37/$E$56,0)</f>
        <v>1.7191439361934471E-2</v>
      </c>
      <c r="G37" s="125">
        <v>12032960</v>
      </c>
      <c r="H37" s="158">
        <f t="shared" ref="H37:H55" si="13">IFERROR((D37/G37)-1,0)</f>
        <v>-6.7077593543068414E-2</v>
      </c>
      <c r="I37" s="129">
        <f t="shared" ref="I37:I55" si="14">IF(H37&lt;0,0,H37)</f>
        <v>0</v>
      </c>
      <c r="J37" s="122">
        <f t="shared" ref="J37:J55" si="15">IFERROR(I37/$I$56,0)</f>
        <v>0</v>
      </c>
      <c r="K37" s="128">
        <f t="shared" ref="K37:K55" si="16">IFERROR(D37/$D$56,0)</f>
        <v>3.8732261757284214E-3</v>
      </c>
      <c r="M37" s="127" t="s">
        <v>22</v>
      </c>
      <c r="N37" s="126">
        <f t="shared" ref="N37:N55" si="17">IFERROR($N$3*F37,0)</f>
        <v>4308084.9046172714</v>
      </c>
      <c r="O37" s="125">
        <f t="shared" ref="O37:O55" si="18">IFERROR($O$3*J37,0)</f>
        <v>0</v>
      </c>
      <c r="P37" s="124">
        <f t="shared" ref="P37:P55" si="19">IFERROR($P$3*K37,0)</f>
        <v>388244.09913624544</v>
      </c>
      <c r="Q37" s="123">
        <f t="shared" ref="Q37:Q55" si="20">IFERROR(SUM(N37:P37),0)</f>
        <v>4696329.0037535168</v>
      </c>
      <c r="R37" s="122">
        <f t="shared" ref="R37:R55" si="21">IFERROR(Q37/$Q$56,0)</f>
        <v>9.370364916112919E-3</v>
      </c>
      <c r="T37" s="108"/>
      <c r="U37" s="108"/>
      <c r="V37" s="108"/>
      <c r="W37" s="108"/>
      <c r="X37" s="108"/>
      <c r="Y37" s="108"/>
      <c r="Z37" s="108"/>
    </row>
    <row r="38" spans="1:26">
      <c r="A38" s="246">
        <v>46</v>
      </c>
      <c r="B38" s="127" t="s">
        <v>139</v>
      </c>
      <c r="C38" s="126">
        <v>2483466</v>
      </c>
      <c r="D38" s="125">
        <f>+VLOOKUP(A38,'COEF Art 14 F I'!A$7:D$57,4,)</f>
        <v>1555152</v>
      </c>
      <c r="E38" s="131">
        <f t="shared" si="11"/>
        <v>0.62620225120859319</v>
      </c>
      <c r="F38" s="130">
        <f t="shared" si="12"/>
        <v>3.8783534698960551E-2</v>
      </c>
      <c r="G38" s="125">
        <v>947940</v>
      </c>
      <c r="H38" s="158">
        <f t="shared" si="13"/>
        <v>0.64055952908411928</v>
      </c>
      <c r="I38" s="129">
        <f t="shared" si="14"/>
        <v>0.64055952908411928</v>
      </c>
      <c r="J38" s="122">
        <f t="shared" si="15"/>
        <v>6.5987909853521695E-2</v>
      </c>
      <c r="K38" s="128">
        <f t="shared" si="16"/>
        <v>5.3657162744277581E-4</v>
      </c>
      <c r="M38" s="127" t="s">
        <v>139</v>
      </c>
      <c r="N38" s="126">
        <f t="shared" si="17"/>
        <v>9718951.2097660135</v>
      </c>
      <c r="O38" s="125">
        <f t="shared" si="18"/>
        <v>9921735.3128672503</v>
      </c>
      <c r="P38" s="124">
        <f t="shared" si="19"/>
        <v>53784.818822105473</v>
      </c>
      <c r="Q38" s="123">
        <f t="shared" si="20"/>
        <v>19694471.341455366</v>
      </c>
      <c r="R38" s="122">
        <f t="shared" si="21"/>
        <v>3.929545463102533E-2</v>
      </c>
      <c r="T38" s="108"/>
      <c r="U38" s="108"/>
      <c r="V38" s="108"/>
      <c r="W38" s="108"/>
      <c r="X38" s="108"/>
      <c r="Y38" s="108"/>
      <c r="Z38" s="108"/>
    </row>
    <row r="39" spans="1:26">
      <c r="A39" s="246">
        <v>49</v>
      </c>
      <c r="B39" s="127" t="s">
        <v>23</v>
      </c>
      <c r="C39" s="126">
        <v>776280</v>
      </c>
      <c r="D39" s="125">
        <f>+VLOOKUP(A39,'COEF Art 14 F I'!A$7:D$57,4,)</f>
        <v>328826</v>
      </c>
      <c r="E39" s="131">
        <f t="shared" si="11"/>
        <v>0.42359200288555676</v>
      </c>
      <c r="F39" s="130">
        <f t="shared" si="12"/>
        <v>2.6234966594908891E-2</v>
      </c>
      <c r="G39" s="125">
        <v>296637</v>
      </c>
      <c r="H39" s="158">
        <f t="shared" si="13"/>
        <v>0.10851309850086133</v>
      </c>
      <c r="I39" s="129">
        <f t="shared" si="14"/>
        <v>0.10851309850086133</v>
      </c>
      <c r="J39" s="122">
        <f t="shared" si="15"/>
        <v>1.1178590336544385E-2</v>
      </c>
      <c r="K39" s="128">
        <f t="shared" si="16"/>
        <v>1.1345431312533964E-4</v>
      </c>
      <c r="M39" s="127" t="s">
        <v>23</v>
      </c>
      <c r="N39" s="126">
        <f t="shared" si="17"/>
        <v>6574345.5903361598</v>
      </c>
      <c r="O39" s="125">
        <f t="shared" si="18"/>
        <v>1680777.80818284</v>
      </c>
      <c r="P39" s="124">
        <f t="shared" si="19"/>
        <v>11372.423296242203</v>
      </c>
      <c r="Q39" s="123">
        <f t="shared" si="20"/>
        <v>8266495.8218152421</v>
      </c>
      <c r="R39" s="122">
        <f t="shared" si="21"/>
        <v>1.6493751261042827E-2</v>
      </c>
      <c r="T39" s="108"/>
      <c r="U39" s="108"/>
      <c r="V39" s="108"/>
      <c r="W39" s="108"/>
      <c r="X39" s="108"/>
      <c r="Y39" s="108"/>
      <c r="Z39" s="108"/>
    </row>
    <row r="40" spans="1:26">
      <c r="A40" s="246">
        <v>48</v>
      </c>
      <c r="B40" s="127" t="s">
        <v>24</v>
      </c>
      <c r="C40" s="126">
        <v>888800</v>
      </c>
      <c r="D40" s="125">
        <f>+VLOOKUP(A40,'COEF Art 14 F I'!A$7:D$57,4,)</f>
        <v>95366</v>
      </c>
      <c r="E40" s="131">
        <f t="shared" si="11"/>
        <v>0.10729747974797479</v>
      </c>
      <c r="F40" s="130">
        <f t="shared" si="12"/>
        <v>6.645417707913044E-3</v>
      </c>
      <c r="G40" s="125">
        <v>101056</v>
      </c>
      <c r="H40" s="158">
        <f t="shared" si="13"/>
        <v>-5.6305414819506017E-2</v>
      </c>
      <c r="I40" s="129">
        <f t="shared" si="14"/>
        <v>0</v>
      </c>
      <c r="J40" s="122">
        <f t="shared" si="15"/>
        <v>0</v>
      </c>
      <c r="K40" s="128">
        <f t="shared" si="16"/>
        <v>3.2903979689900249E-5</v>
      </c>
      <c r="M40" s="127" t="s">
        <v>24</v>
      </c>
      <c r="N40" s="126">
        <f t="shared" si="17"/>
        <v>1665306.9652636116</v>
      </c>
      <c r="O40" s="125">
        <f t="shared" si="18"/>
        <v>0</v>
      </c>
      <c r="P40" s="124">
        <f t="shared" si="19"/>
        <v>3298.2261745404371</v>
      </c>
      <c r="Q40" s="123">
        <f t="shared" si="20"/>
        <v>1668605.191438152</v>
      </c>
      <c r="R40" s="122">
        <f t="shared" si="21"/>
        <v>3.3292896498945015E-3</v>
      </c>
      <c r="T40" s="108"/>
      <c r="U40" s="108"/>
      <c r="V40" s="108"/>
      <c r="W40" s="108"/>
      <c r="X40" s="108"/>
      <c r="Y40" s="108"/>
      <c r="Z40" s="108"/>
    </row>
    <row r="41" spans="1:26">
      <c r="A41" s="246">
        <v>47</v>
      </c>
      <c r="B41" s="127" t="s">
        <v>25</v>
      </c>
      <c r="C41" s="126">
        <v>4862326</v>
      </c>
      <c r="D41" s="125">
        <f>+VLOOKUP(A41,'COEF Art 14 F I'!A$7:D$57,4,)</f>
        <v>736730</v>
      </c>
      <c r="E41" s="131">
        <f t="shared" si="11"/>
        <v>0.15151801833114439</v>
      </c>
      <c r="F41" s="130">
        <f t="shared" si="12"/>
        <v>9.3841954578125601E-3</v>
      </c>
      <c r="G41" s="174">
        <v>933845.6</v>
      </c>
      <c r="H41" s="158">
        <f t="shared" si="13"/>
        <v>-0.21107943325963086</v>
      </c>
      <c r="I41" s="129">
        <f t="shared" si="14"/>
        <v>0</v>
      </c>
      <c r="J41" s="122">
        <f t="shared" si="15"/>
        <v>0</v>
      </c>
      <c r="K41" s="128">
        <f t="shared" si="16"/>
        <v>2.5419278314011502E-4</v>
      </c>
      <c r="M41" s="127" t="s">
        <v>25</v>
      </c>
      <c r="N41" s="126">
        <f t="shared" si="17"/>
        <v>2351630.3633828536</v>
      </c>
      <c r="O41" s="125">
        <f t="shared" si="18"/>
        <v>0</v>
      </c>
      <c r="P41" s="124">
        <f t="shared" si="19"/>
        <v>25479.75347156404</v>
      </c>
      <c r="Q41" s="123">
        <f t="shared" si="20"/>
        <v>2377110.1168544176</v>
      </c>
      <c r="R41" s="122">
        <f t="shared" si="21"/>
        <v>4.7429362855343025E-3</v>
      </c>
      <c r="T41" s="108"/>
      <c r="U41" s="108"/>
      <c r="V41" s="108"/>
      <c r="W41" s="108"/>
      <c r="X41" s="108"/>
      <c r="Y41" s="108"/>
      <c r="Z41" s="108"/>
    </row>
    <row r="42" spans="1:26">
      <c r="A42" s="246">
        <v>45</v>
      </c>
      <c r="B42" s="127" t="s">
        <v>26</v>
      </c>
      <c r="C42" s="126">
        <v>65670646</v>
      </c>
      <c r="D42" s="125">
        <f>+VLOOKUP(A42,'COEF Art 14 F I'!A$7:D$57,4,)</f>
        <v>20566369</v>
      </c>
      <c r="E42" s="131">
        <f t="shared" si="11"/>
        <v>0.31317445849398223</v>
      </c>
      <c r="F42" s="130">
        <f t="shared" si="12"/>
        <v>1.9396309186668195E-2</v>
      </c>
      <c r="G42" s="125">
        <v>20840679</v>
      </c>
      <c r="H42" s="158">
        <f t="shared" si="13"/>
        <v>-1.3162239099791306E-2</v>
      </c>
      <c r="I42" s="129">
        <f t="shared" si="14"/>
        <v>0</v>
      </c>
      <c r="J42" s="122">
        <f t="shared" si="15"/>
        <v>0</v>
      </c>
      <c r="K42" s="128">
        <f t="shared" si="16"/>
        <v>7.0959816692636171E-3</v>
      </c>
      <c r="M42" s="127" t="s">
        <v>26</v>
      </c>
      <c r="N42" s="126">
        <f t="shared" si="17"/>
        <v>4860613.7655580128</v>
      </c>
      <c r="O42" s="125">
        <f t="shared" si="18"/>
        <v>0</v>
      </c>
      <c r="P42" s="124">
        <f t="shared" si="19"/>
        <v>711286.37618288526</v>
      </c>
      <c r="Q42" s="123">
        <f t="shared" si="20"/>
        <v>5571900.1417408977</v>
      </c>
      <c r="R42" s="122">
        <f t="shared" si="21"/>
        <v>1.1117350927186818E-2</v>
      </c>
      <c r="T42" s="108"/>
      <c r="U42" s="108"/>
      <c r="V42" s="108"/>
      <c r="W42" s="108"/>
      <c r="X42" s="108"/>
      <c r="Y42" s="108"/>
      <c r="Z42" s="108"/>
    </row>
    <row r="43" spans="1:26">
      <c r="A43" s="246">
        <v>70</v>
      </c>
      <c r="B43" s="127" t="s">
        <v>27</v>
      </c>
      <c r="C43" s="126"/>
      <c r="D43" s="125"/>
      <c r="E43" s="131">
        <f t="shared" si="11"/>
        <v>0</v>
      </c>
      <c r="F43" s="130">
        <f t="shared" si="12"/>
        <v>0</v>
      </c>
      <c r="G43" s="125"/>
      <c r="H43" s="158">
        <f t="shared" si="13"/>
        <v>0</v>
      </c>
      <c r="I43" s="129">
        <f t="shared" si="14"/>
        <v>0</v>
      </c>
      <c r="J43" s="122">
        <f t="shared" si="15"/>
        <v>0</v>
      </c>
      <c r="K43" s="128">
        <f t="shared" si="16"/>
        <v>0</v>
      </c>
      <c r="M43" s="127" t="s">
        <v>27</v>
      </c>
      <c r="N43" s="126">
        <f t="shared" si="17"/>
        <v>0</v>
      </c>
      <c r="O43" s="125">
        <f t="shared" si="18"/>
        <v>0</v>
      </c>
      <c r="P43" s="124">
        <f t="shared" si="19"/>
        <v>0</v>
      </c>
      <c r="Q43" s="123">
        <f t="shared" si="20"/>
        <v>0</v>
      </c>
      <c r="R43" s="122">
        <f t="shared" si="21"/>
        <v>0</v>
      </c>
      <c r="T43" s="108"/>
      <c r="U43" s="108"/>
      <c r="V43" s="108"/>
      <c r="W43" s="108"/>
      <c r="X43" s="108"/>
      <c r="Y43" s="108"/>
      <c r="Z43" s="108"/>
    </row>
    <row r="44" spans="1:26">
      <c r="A44" s="246">
        <v>50</v>
      </c>
      <c r="B44" s="127" t="s">
        <v>140</v>
      </c>
      <c r="C44" s="126">
        <v>1446609</v>
      </c>
      <c r="D44" s="125">
        <f>+VLOOKUP(A44,'COEF Art 14 F I'!A$7:D$57,4,)</f>
        <v>409925</v>
      </c>
      <c r="E44" s="131">
        <f t="shared" si="11"/>
        <v>0.2833695905389777</v>
      </c>
      <c r="F44" s="130">
        <f t="shared" si="12"/>
        <v>1.7550359051069268E-2</v>
      </c>
      <c r="G44" s="125">
        <v>378540</v>
      </c>
      <c r="H44" s="158">
        <f t="shared" si="13"/>
        <v>8.2910656733766519E-2</v>
      </c>
      <c r="I44" s="129">
        <f t="shared" si="14"/>
        <v>8.2910656733766519E-2</v>
      </c>
      <c r="J44" s="122">
        <f t="shared" si="15"/>
        <v>8.5411280201649967E-3</v>
      </c>
      <c r="K44" s="128">
        <f t="shared" si="16"/>
        <v>1.4143577243862969E-4</v>
      </c>
      <c r="M44" s="127" t="s">
        <v>140</v>
      </c>
      <c r="N44" s="126">
        <f t="shared" si="17"/>
        <v>4398028.3038974553</v>
      </c>
      <c r="O44" s="125">
        <f t="shared" si="18"/>
        <v>1284217.240362681</v>
      </c>
      <c r="P44" s="124">
        <f t="shared" si="19"/>
        <v>14177.226313345309</v>
      </c>
      <c r="Q44" s="123">
        <f t="shared" si="20"/>
        <v>5696422.7705734819</v>
      </c>
      <c r="R44" s="122">
        <f t="shared" si="21"/>
        <v>1.1365805086071858E-2</v>
      </c>
      <c r="T44" s="108"/>
      <c r="U44" s="108"/>
      <c r="V44" s="108"/>
      <c r="W44" s="108"/>
      <c r="X44" s="108"/>
      <c r="Y44" s="108"/>
      <c r="Z44" s="108"/>
    </row>
    <row r="45" spans="1:26">
      <c r="A45" s="246">
        <v>51</v>
      </c>
      <c r="B45" s="127" t="s">
        <v>141</v>
      </c>
      <c r="C45" s="126">
        <v>118655999</v>
      </c>
      <c r="D45" s="125">
        <f>+VLOOKUP(A45,'COEF Art 14 F I'!A$7:D$57,4,)</f>
        <v>24732378.239999998</v>
      </c>
      <c r="E45" s="131">
        <f t="shared" si="11"/>
        <v>0.20843765547833784</v>
      </c>
      <c r="F45" s="130">
        <f t="shared" si="12"/>
        <v>1.2909485758334123E-2</v>
      </c>
      <c r="G45" s="125">
        <v>21534368.5</v>
      </c>
      <c r="H45" s="158">
        <f t="shared" si="13"/>
        <v>0.14850724505805668</v>
      </c>
      <c r="I45" s="129">
        <f t="shared" si="14"/>
        <v>0.14850724505805668</v>
      </c>
      <c r="J45" s="122">
        <f t="shared" si="15"/>
        <v>1.5298629174243366E-2</v>
      </c>
      <c r="K45" s="128">
        <f t="shared" si="16"/>
        <v>8.5333732283192215E-3</v>
      </c>
      <c r="M45" s="127" t="s">
        <v>141</v>
      </c>
      <c r="N45" s="126">
        <f t="shared" si="17"/>
        <v>3235049.6983396728</v>
      </c>
      <c r="O45" s="125">
        <f t="shared" si="18"/>
        <v>2300253.9352055374</v>
      </c>
      <c r="P45" s="124">
        <f t="shared" si="19"/>
        <v>855367.50277669565</v>
      </c>
      <c r="Q45" s="123">
        <f t="shared" si="20"/>
        <v>6390671.136321906</v>
      </c>
      <c r="R45" s="122">
        <f t="shared" si="21"/>
        <v>1.2751006277103915E-2</v>
      </c>
      <c r="T45" s="108"/>
      <c r="U45" s="108"/>
      <c r="V45" s="108"/>
      <c r="W45" s="108"/>
      <c r="X45" s="108"/>
      <c r="Y45" s="108"/>
      <c r="Z45" s="108"/>
    </row>
    <row r="46" spans="1:26">
      <c r="A46" s="246">
        <v>52</v>
      </c>
      <c r="B46" s="127" t="s">
        <v>142</v>
      </c>
      <c r="C46" s="126">
        <v>8461471</v>
      </c>
      <c r="D46" s="125">
        <f>+VLOOKUP(A46,'COEF Art 14 F I'!A$7:D$57,4,)</f>
        <v>1668066</v>
      </c>
      <c r="E46" s="131">
        <f t="shared" si="11"/>
        <v>0.19713664444397433</v>
      </c>
      <c r="F46" s="130">
        <f t="shared" si="12"/>
        <v>1.2209563085206309E-2</v>
      </c>
      <c r="G46" s="125">
        <v>1244367</v>
      </c>
      <c r="H46" s="158">
        <f t="shared" si="13"/>
        <v>0.34049360036066534</v>
      </c>
      <c r="I46" s="129">
        <f t="shared" si="14"/>
        <v>0.34049360036066534</v>
      </c>
      <c r="J46" s="122">
        <f t="shared" si="15"/>
        <v>3.5076304365382463E-2</v>
      </c>
      <c r="K46" s="128">
        <f t="shared" si="16"/>
        <v>5.7553016573425693E-4</v>
      </c>
      <c r="M46" s="127" t="s">
        <v>142</v>
      </c>
      <c r="N46" s="126">
        <f t="shared" si="17"/>
        <v>3059652.7324999254</v>
      </c>
      <c r="O46" s="125">
        <f t="shared" si="18"/>
        <v>5273963.1917333957</v>
      </c>
      <c r="P46" s="124">
        <f t="shared" si="19"/>
        <v>57689.941300473634</v>
      </c>
      <c r="Q46" s="123">
        <f t="shared" si="20"/>
        <v>8391305.8655337952</v>
      </c>
      <c r="R46" s="122">
        <f t="shared" si="21"/>
        <v>1.6742778885364743E-2</v>
      </c>
      <c r="T46" s="108"/>
      <c r="U46" s="108"/>
      <c r="V46" s="108"/>
      <c r="W46" s="108"/>
      <c r="X46" s="108"/>
      <c r="Y46" s="108"/>
      <c r="Z46" s="108"/>
    </row>
    <row r="47" spans="1:26">
      <c r="A47" s="246">
        <v>53</v>
      </c>
      <c r="B47" s="127" t="s">
        <v>28</v>
      </c>
      <c r="C47" s="126">
        <v>1204547</v>
      </c>
      <c r="D47" s="125">
        <f>+VLOOKUP(A47,'COEF Art 14 F I'!A$7:D$57,4,)</f>
        <v>267154</v>
      </c>
      <c r="E47" s="131">
        <f t="shared" si="11"/>
        <v>0.22178794185698025</v>
      </c>
      <c r="F47" s="130">
        <f t="shared" si="12"/>
        <v>1.3736329312485871E-2</v>
      </c>
      <c r="G47" s="125">
        <v>290271</v>
      </c>
      <c r="H47" s="158">
        <f t="shared" si="13"/>
        <v>-7.9639371483889221E-2</v>
      </c>
      <c r="I47" s="129">
        <f t="shared" si="14"/>
        <v>0</v>
      </c>
      <c r="J47" s="122">
        <f t="shared" si="15"/>
        <v>0</v>
      </c>
      <c r="K47" s="128">
        <f t="shared" si="16"/>
        <v>9.2175720802755812E-5</v>
      </c>
      <c r="M47" s="127" t="s">
        <v>28</v>
      </c>
      <c r="N47" s="126">
        <f t="shared" si="17"/>
        <v>3442252.3739927956</v>
      </c>
      <c r="O47" s="125">
        <f t="shared" si="18"/>
        <v>0</v>
      </c>
      <c r="P47" s="124">
        <f t="shared" si="19"/>
        <v>9239.5016613171974</v>
      </c>
      <c r="Q47" s="123">
        <f t="shared" si="20"/>
        <v>3451491.875654113</v>
      </c>
      <c r="R47" s="122">
        <f t="shared" si="21"/>
        <v>6.8865998004034867E-3</v>
      </c>
      <c r="T47" s="108"/>
      <c r="U47" s="108"/>
      <c r="V47" s="108"/>
      <c r="W47" s="108"/>
      <c r="X47" s="108"/>
      <c r="Y47" s="108"/>
      <c r="Z47" s="108"/>
    </row>
    <row r="48" spans="1:26">
      <c r="A48" s="246">
        <v>54</v>
      </c>
      <c r="B48" s="127" t="s">
        <v>29</v>
      </c>
      <c r="C48" s="126">
        <v>18543189</v>
      </c>
      <c r="D48" s="125">
        <f>+VLOOKUP(A48,'COEF Art 14 F I'!A$7:D$57,4,)</f>
        <v>7763840.4800000004</v>
      </c>
      <c r="E48" s="131">
        <f t="shared" si="11"/>
        <v>0.41868960511592695</v>
      </c>
      <c r="F48" s="130">
        <f t="shared" si="12"/>
        <v>2.5931338951220958E-2</v>
      </c>
      <c r="G48" s="125">
        <v>7908079.6500000004</v>
      </c>
      <c r="H48" s="158">
        <f t="shared" si="13"/>
        <v>-1.8239468541518811E-2</v>
      </c>
      <c r="I48" s="129">
        <f t="shared" si="14"/>
        <v>0</v>
      </c>
      <c r="J48" s="122">
        <f t="shared" si="15"/>
        <v>0</v>
      </c>
      <c r="K48" s="128">
        <f t="shared" si="16"/>
        <v>2.6787455641375901E-3</v>
      </c>
      <c r="M48" s="127" t="s">
        <v>29</v>
      </c>
      <c r="N48" s="126">
        <f t="shared" si="17"/>
        <v>6498258.08882696</v>
      </c>
      <c r="O48" s="125">
        <f t="shared" si="18"/>
        <v>0</v>
      </c>
      <c r="P48" s="124">
        <f t="shared" si="19"/>
        <v>268511.85837817035</v>
      </c>
      <c r="Q48" s="123">
        <f t="shared" si="20"/>
        <v>6766769.94720513</v>
      </c>
      <c r="R48" s="122">
        <f t="shared" si="21"/>
        <v>1.3501418588437994E-2</v>
      </c>
      <c r="T48" s="108"/>
      <c r="U48" s="108"/>
      <c r="V48" s="108"/>
      <c r="W48" s="108"/>
      <c r="X48" s="108"/>
      <c r="Y48" s="108"/>
      <c r="Z48" s="108"/>
    </row>
    <row r="49" spans="1:26">
      <c r="A49" s="246">
        <v>55</v>
      </c>
      <c r="B49" s="127" t="s">
        <v>30</v>
      </c>
      <c r="C49" s="126">
        <v>165708544</v>
      </c>
      <c r="D49" s="125">
        <f>+VLOOKUP(A49,'COEF Art 14 F I'!A$7:D$57,4,)</f>
        <v>36493940.880000003</v>
      </c>
      <c r="E49" s="131">
        <f t="shared" si="11"/>
        <v>0.22022968761345221</v>
      </c>
      <c r="F49" s="130">
        <f t="shared" si="12"/>
        <v>1.363981958674306E-2</v>
      </c>
      <c r="G49" s="125">
        <v>23883804.280000001</v>
      </c>
      <c r="H49" s="158">
        <f t="shared" si="13"/>
        <v>0.52797856037363244</v>
      </c>
      <c r="I49" s="129">
        <f t="shared" si="14"/>
        <v>0.52797856037363244</v>
      </c>
      <c r="J49" s="122">
        <f t="shared" si="15"/>
        <v>5.4390263612723727E-2</v>
      </c>
      <c r="K49" s="128">
        <f t="shared" si="16"/>
        <v>1.2591446527273247E-2</v>
      </c>
      <c r="M49" s="127" t="s">
        <v>30</v>
      </c>
      <c r="N49" s="126">
        <f t="shared" si="17"/>
        <v>3418067.5408401992</v>
      </c>
      <c r="O49" s="125">
        <f t="shared" si="18"/>
        <v>8177949.5722839516</v>
      </c>
      <c r="P49" s="124">
        <f t="shared" si="19"/>
        <v>1262140.2913254963</v>
      </c>
      <c r="Q49" s="123">
        <f t="shared" si="20"/>
        <v>12858157.404449647</v>
      </c>
      <c r="R49" s="122">
        <f t="shared" si="21"/>
        <v>2.5655278182643296E-2</v>
      </c>
      <c r="T49" s="108"/>
      <c r="U49" s="108"/>
      <c r="V49" s="108"/>
      <c r="W49" s="108"/>
      <c r="X49" s="108"/>
      <c r="Y49" s="108"/>
      <c r="Z49" s="108"/>
    </row>
    <row r="50" spans="1:26">
      <c r="A50" s="246">
        <v>58</v>
      </c>
      <c r="B50" s="127" t="s">
        <v>143</v>
      </c>
      <c r="C50" s="126">
        <v>665856327</v>
      </c>
      <c r="D50" s="125">
        <f>+VLOOKUP(A50,'COEF Art 14 F I'!A$7:D$57,4,)</f>
        <v>353219962.69999999</v>
      </c>
      <c r="E50" s="131">
        <f t="shared" si="11"/>
        <v>0.53047474113736248</v>
      </c>
      <c r="F50" s="130">
        <f t="shared" si="12"/>
        <v>3.2854697488095982E-2</v>
      </c>
      <c r="G50" s="125">
        <v>330884619.5</v>
      </c>
      <c r="H50" s="158">
        <f t="shared" si="13"/>
        <v>6.7501908168928981E-2</v>
      </c>
      <c r="I50" s="129">
        <f t="shared" si="14"/>
        <v>6.7501908168928981E-2</v>
      </c>
      <c r="J50" s="122">
        <f t="shared" si="15"/>
        <v>6.9537796706588976E-3</v>
      </c>
      <c r="K50" s="128">
        <f t="shared" si="16"/>
        <v>0.12187092337676031</v>
      </c>
      <c r="M50" s="127" t="s">
        <v>143</v>
      </c>
      <c r="N50" s="126">
        <f t="shared" si="17"/>
        <v>8233215.5740045244</v>
      </c>
      <c r="O50" s="125">
        <f t="shared" si="18"/>
        <v>1045548.517439406</v>
      </c>
      <c r="P50" s="124">
        <f t="shared" si="19"/>
        <v>12216086.72217915</v>
      </c>
      <c r="Q50" s="123">
        <f t="shared" si="20"/>
        <v>21494850.813623078</v>
      </c>
      <c r="R50" s="122">
        <f t="shared" si="21"/>
        <v>4.2887667320597712E-2</v>
      </c>
      <c r="T50" s="108"/>
      <c r="U50" s="108"/>
      <c r="V50" s="108"/>
      <c r="W50" s="108"/>
      <c r="X50" s="108"/>
      <c r="Y50" s="108"/>
      <c r="Z50" s="108"/>
    </row>
    <row r="51" spans="1:26">
      <c r="A51" s="246">
        <v>31</v>
      </c>
      <c r="B51" s="127" t="s">
        <v>144</v>
      </c>
      <c r="C51" s="126">
        <v>1378432520</v>
      </c>
      <c r="D51" s="125">
        <f>+VLOOKUP(A51,'COEF Art 14 F I'!A$7:D$57,4,)</f>
        <v>868048268.77999997</v>
      </c>
      <c r="E51" s="131">
        <f t="shared" si="11"/>
        <v>0.62973577319548435</v>
      </c>
      <c r="F51" s="130">
        <f t="shared" si="12"/>
        <v>3.9002381680624441E-2</v>
      </c>
      <c r="G51" s="125">
        <v>722790593.99000001</v>
      </c>
      <c r="H51" s="158">
        <f t="shared" si="13"/>
        <v>0.20096785431052466</v>
      </c>
      <c r="I51" s="129">
        <f t="shared" si="14"/>
        <v>0.20096785431052466</v>
      </c>
      <c r="J51" s="122">
        <f t="shared" si="15"/>
        <v>2.0702913705241389E-2</v>
      </c>
      <c r="K51" s="128">
        <f t="shared" si="16"/>
        <v>0.29950131709194255</v>
      </c>
      <c r="M51" s="127" t="s">
        <v>144</v>
      </c>
      <c r="N51" s="126">
        <f t="shared" si="17"/>
        <v>9773793.1202237755</v>
      </c>
      <c r="O51" s="125">
        <f t="shared" si="18"/>
        <v>3112825.2197182518</v>
      </c>
      <c r="P51" s="124">
        <f t="shared" si="19"/>
        <v>30021386.247244392</v>
      </c>
      <c r="Q51" s="123">
        <f t="shared" si="20"/>
        <v>42908004.587186418</v>
      </c>
      <c r="R51" s="122">
        <f t="shared" si="21"/>
        <v>8.5612328370273133E-2</v>
      </c>
      <c r="T51" s="108"/>
      <c r="U51" s="108"/>
      <c r="V51" s="108"/>
      <c r="W51" s="108"/>
      <c r="X51" s="108"/>
      <c r="Y51" s="108"/>
      <c r="Z51" s="108"/>
    </row>
    <row r="52" spans="1:26">
      <c r="A52" s="246">
        <v>57</v>
      </c>
      <c r="B52" s="127" t="s">
        <v>31</v>
      </c>
      <c r="C52" s="126">
        <v>441398458</v>
      </c>
      <c r="D52" s="125">
        <f>+VLOOKUP(A52,'COEF Art 14 F I'!A$7:D$57,4,)</f>
        <v>202042327.25</v>
      </c>
      <c r="E52" s="131">
        <f t="shared" si="11"/>
        <v>0.45773229060532877</v>
      </c>
      <c r="F52" s="130">
        <f t="shared" si="12"/>
        <v>2.8349428864657605E-2</v>
      </c>
      <c r="G52" s="125">
        <v>126817695.59999999</v>
      </c>
      <c r="H52" s="158">
        <f t="shared" si="13"/>
        <v>0.59317141266522122</v>
      </c>
      <c r="I52" s="129">
        <f t="shared" si="14"/>
        <v>0.59317141266522122</v>
      </c>
      <c r="J52" s="122">
        <f t="shared" si="15"/>
        <v>6.1106173477123507E-2</v>
      </c>
      <c r="K52" s="128">
        <f t="shared" si="16"/>
        <v>6.9710343647989642E-2</v>
      </c>
      <c r="M52" s="127" t="s">
        <v>31</v>
      </c>
      <c r="N52" s="126">
        <f t="shared" si="17"/>
        <v>7104218.7902415218</v>
      </c>
      <c r="O52" s="125">
        <f t="shared" si="18"/>
        <v>9187732.7311619967</v>
      </c>
      <c r="P52" s="124">
        <f t="shared" si="19"/>
        <v>6987619.1944824643</v>
      </c>
      <c r="Q52" s="123">
        <f t="shared" si="20"/>
        <v>23279570.715885982</v>
      </c>
      <c r="R52" s="122">
        <f t="shared" si="21"/>
        <v>4.644863520506378E-2</v>
      </c>
      <c r="T52" s="108"/>
      <c r="U52" s="108"/>
      <c r="V52" s="108"/>
      <c r="W52" s="108"/>
      <c r="X52" s="108"/>
      <c r="Y52" s="108"/>
      <c r="Z52" s="108"/>
    </row>
    <row r="53" spans="1:26">
      <c r="A53" s="246">
        <v>56</v>
      </c>
      <c r="B53" s="127" t="s">
        <v>32</v>
      </c>
      <c r="C53" s="126">
        <v>260135245</v>
      </c>
      <c r="D53" s="125">
        <f>+VLOOKUP(A53,'COEF Art 14 F I'!A$7:D$57,4,)</f>
        <v>109150868.86</v>
      </c>
      <c r="E53" s="131">
        <f t="shared" si="11"/>
        <v>0.41959277321302618</v>
      </c>
      <c r="F53" s="130">
        <f t="shared" si="12"/>
        <v>2.5987276232131779E-2</v>
      </c>
      <c r="G53" s="125">
        <v>94615002.860000014</v>
      </c>
      <c r="H53" s="158">
        <f t="shared" si="13"/>
        <v>0.15363172394031865</v>
      </c>
      <c r="I53" s="129">
        <f t="shared" si="14"/>
        <v>0.15363172394031865</v>
      </c>
      <c r="J53" s="122">
        <f t="shared" si="15"/>
        <v>1.5826532726021723E-2</v>
      </c>
      <c r="K53" s="128">
        <f t="shared" si="16"/>
        <v>3.7660151124136544E-2</v>
      </c>
      <c r="M53" s="127" t="s">
        <v>32</v>
      </c>
      <c r="N53" s="126">
        <f t="shared" si="17"/>
        <v>6512275.6792348251</v>
      </c>
      <c r="O53" s="125">
        <f t="shared" si="18"/>
        <v>2379627.8587484099</v>
      </c>
      <c r="P53" s="124">
        <f t="shared" si="19"/>
        <v>3774974.8615636886</v>
      </c>
      <c r="Q53" s="123">
        <f t="shared" si="20"/>
        <v>12666878.399546923</v>
      </c>
      <c r="R53" s="122">
        <f t="shared" si="21"/>
        <v>2.5273628158699712E-2</v>
      </c>
      <c r="T53" s="108"/>
      <c r="U53" s="108"/>
      <c r="V53" s="108"/>
      <c r="W53" s="108"/>
      <c r="X53" s="108"/>
      <c r="Y53" s="108"/>
      <c r="Z53" s="108"/>
    </row>
    <row r="54" spans="1:26">
      <c r="A54" s="246">
        <v>59</v>
      </c>
      <c r="B54" s="127" t="s">
        <v>33</v>
      </c>
      <c r="C54" s="126">
        <v>4746914</v>
      </c>
      <c r="D54" s="125">
        <f>+VLOOKUP(A54,'COEF Art 14 F I'!A$7:D$57,4,)</f>
        <v>1301773</v>
      </c>
      <c r="E54" s="131">
        <f t="shared" si="11"/>
        <v>0.27423564024964431</v>
      </c>
      <c r="F54" s="130">
        <f t="shared" si="12"/>
        <v>1.698465224100713E-2</v>
      </c>
      <c r="G54" s="125">
        <v>1178778</v>
      </c>
      <c r="H54" s="158">
        <f t="shared" si="13"/>
        <v>0.10434110578921563</v>
      </c>
      <c r="I54" s="129">
        <f t="shared" si="14"/>
        <v>0.10434110578921563</v>
      </c>
      <c r="J54" s="122">
        <f t="shared" si="15"/>
        <v>1.0748808143842865E-2</v>
      </c>
      <c r="K54" s="128">
        <f t="shared" si="16"/>
        <v>4.4914867303714654E-4</v>
      </c>
      <c r="M54" s="127" t="s">
        <v>33</v>
      </c>
      <c r="N54" s="126">
        <f t="shared" si="17"/>
        <v>4256265.1322654057</v>
      </c>
      <c r="O54" s="125">
        <f t="shared" si="18"/>
        <v>1616157.1046686096</v>
      </c>
      <c r="P54" s="124">
        <f t="shared" si="19"/>
        <v>45021.724534006127</v>
      </c>
      <c r="Q54" s="123">
        <f t="shared" si="20"/>
        <v>5917443.9614680214</v>
      </c>
      <c r="R54" s="122">
        <f t="shared" si="21"/>
        <v>1.1806798298263851E-2</v>
      </c>
      <c r="T54" s="108"/>
      <c r="U54" s="108"/>
      <c r="V54" s="108"/>
      <c r="W54" s="108"/>
      <c r="X54" s="108"/>
      <c r="Y54" s="108"/>
      <c r="Z54" s="108"/>
    </row>
    <row r="55" spans="1:26">
      <c r="A55" s="246">
        <v>60</v>
      </c>
      <c r="B55" s="127" t="s">
        <v>34</v>
      </c>
      <c r="C55" s="126">
        <v>3262285</v>
      </c>
      <c r="D55" s="125">
        <f>+VLOOKUP(A55,'COEF Art 14 F I'!A$7:D$57,4,)</f>
        <v>846367</v>
      </c>
      <c r="E55" s="131">
        <f t="shared" si="11"/>
        <v>0.25943993243999219</v>
      </c>
      <c r="F55" s="130">
        <f t="shared" si="12"/>
        <v>1.6068287206988472E-2</v>
      </c>
      <c r="G55" s="125">
        <v>668727</v>
      </c>
      <c r="H55" s="158">
        <f t="shared" si="13"/>
        <v>0.26563904253903314</v>
      </c>
      <c r="I55" s="129">
        <f t="shared" si="14"/>
        <v>0.26563904253903314</v>
      </c>
      <c r="J55" s="122">
        <f t="shared" si="15"/>
        <v>2.7365083800571489E-2</v>
      </c>
      <c r="K55" s="128">
        <f t="shared" si="16"/>
        <v>2.9202066332027982E-4</v>
      </c>
      <c r="M55" s="127" t="s">
        <v>34</v>
      </c>
      <c r="N55" s="126">
        <f t="shared" si="17"/>
        <v>4026628.8413730855</v>
      </c>
      <c r="O55" s="125">
        <f t="shared" si="18"/>
        <v>4114528.2353447899</v>
      </c>
      <c r="P55" s="124">
        <f t="shared" si="19"/>
        <v>29271.54114325091</v>
      </c>
      <c r="Q55" s="123">
        <f t="shared" si="20"/>
        <v>8170428.6178611265</v>
      </c>
      <c r="R55" s="122">
        <f t="shared" si="21"/>
        <v>1.6302072876329739E-2</v>
      </c>
      <c r="T55" s="108"/>
      <c r="U55" s="108"/>
      <c r="V55" s="108"/>
      <c r="W55" s="108"/>
      <c r="X55" s="108"/>
      <c r="Y55" s="108"/>
      <c r="Z55" s="108"/>
    </row>
    <row r="56" spans="1:26" ht="13.5" thickBot="1">
      <c r="B56" s="114" t="s">
        <v>35</v>
      </c>
      <c r="C56" s="121">
        <f>SUM(C5:C55)</f>
        <v>6827387891</v>
      </c>
      <c r="D56" s="120">
        <f>SUM(D5:D55)</f>
        <v>2898312024.8300004</v>
      </c>
      <c r="E56" s="119">
        <f>SUM(E5:E55)</f>
        <v>16.146085086601872</v>
      </c>
      <c r="F56" s="118">
        <f>SUM(F5:F55)</f>
        <v>1.0000000000000002</v>
      </c>
      <c r="G56" s="112">
        <f>SUM(G5:G55)</f>
        <v>2407468822.4100003</v>
      </c>
      <c r="H56" s="117"/>
      <c r="I56" s="116">
        <f>SUM(I5:I55)</f>
        <v>9.7072256191477688</v>
      </c>
      <c r="J56" s="109">
        <f>SUM(J5:J55)</f>
        <v>0.99999999999999978</v>
      </c>
      <c r="K56" s="115">
        <f>SUM(K5:K55)</f>
        <v>0.99999999999999978</v>
      </c>
      <c r="M56" s="114" t="s">
        <v>35</v>
      </c>
      <c r="N56" s="113">
        <f>SUM(N5:N55)</f>
        <v>250594776.49999997</v>
      </c>
      <c r="O56" s="112">
        <f>SUM(O5:O55)</f>
        <v>150356865.89999998</v>
      </c>
      <c r="P56" s="111">
        <f>SUM(P5:P55)</f>
        <v>100237910.59999999</v>
      </c>
      <c r="Q56" s="110">
        <f>SUM(Q5:Q55)</f>
        <v>501189553.00000006</v>
      </c>
      <c r="R56" s="109">
        <f>SUM(R5:R55)</f>
        <v>0.99999999999999989</v>
      </c>
      <c r="T56" s="108"/>
      <c r="U56" s="108"/>
      <c r="V56" s="108"/>
      <c r="W56" s="108"/>
      <c r="X56" s="108"/>
      <c r="Y56" s="108"/>
      <c r="Z56" s="108"/>
    </row>
    <row r="57" spans="1:26" ht="13.5" thickTop="1"/>
    <row r="59" spans="1:26">
      <c r="M59" s="280" t="s">
        <v>104</v>
      </c>
      <c r="N59" s="280"/>
      <c r="O59" s="280"/>
      <c r="P59" s="280"/>
      <c r="Q59" s="280"/>
      <c r="R59" s="280"/>
    </row>
    <row r="60" spans="1:26">
      <c r="M60" s="280"/>
      <c r="N60" s="280"/>
      <c r="O60" s="280"/>
      <c r="P60" s="280"/>
      <c r="Q60" s="280"/>
      <c r="R60" s="280"/>
    </row>
    <row r="61" spans="1:26">
      <c r="M61" s="280"/>
      <c r="N61" s="280"/>
      <c r="O61" s="280"/>
      <c r="P61" s="280"/>
      <c r="Q61" s="280"/>
      <c r="R61" s="280"/>
    </row>
    <row r="62" spans="1:26">
      <c r="M62" s="280"/>
      <c r="N62" s="280"/>
      <c r="O62" s="280"/>
      <c r="P62" s="280"/>
      <c r="Q62" s="280"/>
      <c r="R62" s="280"/>
    </row>
    <row r="63" spans="1:26">
      <c r="M63" s="280"/>
      <c r="N63" s="280"/>
      <c r="O63" s="280"/>
      <c r="P63" s="280"/>
      <c r="Q63" s="280"/>
      <c r="R63" s="280"/>
    </row>
  </sheetData>
  <mergeCells count="4">
    <mergeCell ref="C1:F1"/>
    <mergeCell ref="G1:J1"/>
    <mergeCell ref="M1:R1"/>
    <mergeCell ref="M59:R63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70" orientation="landscape" r:id="rId1"/>
  <headerFooter>
    <oddHeader>&amp;LANEXO 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showGridLines="0" zoomScaleNormal="100" workbookViewId="0">
      <selection activeCell="D7" sqref="D7"/>
    </sheetView>
  </sheetViews>
  <sheetFormatPr baseColWidth="10" defaultRowHeight="12.75"/>
  <cols>
    <col min="1" max="1" width="3" style="206" bestFit="1" customWidth="1"/>
    <col min="2" max="2" width="46.7109375" style="206" customWidth="1"/>
    <col min="3" max="3" width="15.28515625" style="207" customWidth="1"/>
    <col min="4" max="4" width="13.140625" style="206" bestFit="1" customWidth="1"/>
    <col min="5" max="5" width="21" style="207" customWidth="1"/>
    <col min="6" max="16384" width="11.42578125" style="206"/>
  </cols>
  <sheetData>
    <row r="1" spans="1:5">
      <c r="B1" s="281" t="s">
        <v>184</v>
      </c>
      <c r="C1" s="281"/>
      <c r="D1" s="281"/>
      <c r="E1" s="281"/>
    </row>
    <row r="2" spans="1:5" ht="13.5" thickBot="1">
      <c r="B2" s="282" t="s">
        <v>212</v>
      </c>
      <c r="C2" s="282"/>
      <c r="D2" s="282"/>
      <c r="E2" s="282"/>
    </row>
    <row r="3" spans="1:5">
      <c r="B3" s="232" t="s">
        <v>185</v>
      </c>
      <c r="C3" s="233" t="s">
        <v>202</v>
      </c>
      <c r="D3" s="234" t="s">
        <v>186</v>
      </c>
      <c r="E3" s="235" t="s">
        <v>187</v>
      </c>
    </row>
    <row r="4" spans="1:5">
      <c r="A4" s="245">
        <v>15</v>
      </c>
      <c r="B4" s="236" t="s">
        <v>1</v>
      </c>
      <c r="C4" s="237">
        <v>297247.96999999997</v>
      </c>
      <c r="D4" s="238">
        <f t="shared" ref="D4:D54" si="0">+C4/C$55</f>
        <v>8.0520435530624296E-5</v>
      </c>
      <c r="E4" s="239">
        <f>+ROUND(D4*'PART 2024'!D$13,2)</f>
        <v>11726.89</v>
      </c>
    </row>
    <row r="5" spans="1:5">
      <c r="A5" s="245">
        <v>11</v>
      </c>
      <c r="B5" s="236" t="s">
        <v>2</v>
      </c>
      <c r="C5" s="237">
        <v>609337</v>
      </c>
      <c r="D5" s="240">
        <f t="shared" si="0"/>
        <v>1.6506111252811591E-4</v>
      </c>
      <c r="E5" s="239">
        <f>+ROUND(D5*'PART 2024'!D$13,2)</f>
        <v>24039.29</v>
      </c>
    </row>
    <row r="6" spans="1:5">
      <c r="A6" s="245">
        <v>12</v>
      </c>
      <c r="B6" s="236" t="s">
        <v>145</v>
      </c>
      <c r="C6" s="237">
        <v>0</v>
      </c>
      <c r="D6" s="240">
        <f t="shared" si="0"/>
        <v>0</v>
      </c>
      <c r="E6" s="239">
        <f>+ROUND(D6*'PART 2024'!D$13,2)</f>
        <v>0</v>
      </c>
    </row>
    <row r="7" spans="1:5">
      <c r="A7" s="245">
        <v>13</v>
      </c>
      <c r="B7" s="236" t="s">
        <v>3</v>
      </c>
      <c r="C7" s="237">
        <v>35039593.700000003</v>
      </c>
      <c r="D7" s="240">
        <f t="shared" si="0"/>
        <v>9.491749752034033E-3</v>
      </c>
      <c r="E7" s="239">
        <f>+ROUND(D7*'PART 2024'!D$13,2)</f>
        <v>1382366.18</v>
      </c>
    </row>
    <row r="8" spans="1:5">
      <c r="A8" s="245">
        <v>14</v>
      </c>
      <c r="B8" s="236" t="s">
        <v>146</v>
      </c>
      <c r="C8" s="237">
        <v>1969916.38</v>
      </c>
      <c r="D8" s="240">
        <f t="shared" si="0"/>
        <v>5.3362357655970135E-4</v>
      </c>
      <c r="E8" s="239">
        <f>+ROUND(D8*'PART 2024'!D$13,2)</f>
        <v>77716.25</v>
      </c>
    </row>
    <row r="9" spans="1:5">
      <c r="A9" s="245">
        <v>17</v>
      </c>
      <c r="B9" s="236" t="s">
        <v>4</v>
      </c>
      <c r="C9" s="237">
        <v>511706704.39999998</v>
      </c>
      <c r="D9" s="240">
        <f t="shared" si="0"/>
        <v>0.13861439222689537</v>
      </c>
      <c r="E9" s="239">
        <f>+ROUND(D9*'PART 2024'!D$13,2)</f>
        <v>20187621.109999999</v>
      </c>
    </row>
    <row r="10" spans="1:5">
      <c r="A10" s="245">
        <v>16</v>
      </c>
      <c r="B10" s="236" t="s">
        <v>5</v>
      </c>
      <c r="C10" s="237">
        <v>72685</v>
      </c>
      <c r="D10" s="240">
        <f t="shared" si="0"/>
        <v>1.9689378724919224E-5</v>
      </c>
      <c r="E10" s="239">
        <f>+ROUND(D10*'PART 2024'!D$13,2)</f>
        <v>2867.54</v>
      </c>
    </row>
    <row r="11" spans="1:5">
      <c r="A11" s="245">
        <v>18</v>
      </c>
      <c r="B11" s="236" t="s">
        <v>6</v>
      </c>
      <c r="C11" s="237">
        <v>1109875.3899999999</v>
      </c>
      <c r="D11" s="240">
        <f t="shared" si="0"/>
        <v>3.0065016015928217E-4</v>
      </c>
      <c r="E11" s="239">
        <f>+ROUND(D11*'PART 2024'!D$13,2)</f>
        <v>43786.3</v>
      </c>
    </row>
    <row r="12" spans="1:5">
      <c r="A12" s="245">
        <v>19</v>
      </c>
      <c r="B12" s="236" t="s">
        <v>130</v>
      </c>
      <c r="C12" s="237">
        <v>37217892</v>
      </c>
      <c r="D12" s="240">
        <f t="shared" si="0"/>
        <v>1.0081821158851777E-2</v>
      </c>
      <c r="E12" s="239">
        <f>+ROUND(D12*'PART 2024'!D$13,2)</f>
        <v>1468303.42</v>
      </c>
    </row>
    <row r="13" spans="1:5">
      <c r="A13" s="245">
        <v>20</v>
      </c>
      <c r="B13" s="236" t="s">
        <v>131</v>
      </c>
      <c r="C13" s="237">
        <v>17583367.030000001</v>
      </c>
      <c r="D13" s="240">
        <f t="shared" si="0"/>
        <v>4.7630951738725754E-3</v>
      </c>
      <c r="E13" s="239">
        <f>+ROUND(D13*'PART 2024'!D$13,2)</f>
        <v>693691.03</v>
      </c>
    </row>
    <row r="14" spans="1:5">
      <c r="A14" s="245">
        <v>23</v>
      </c>
      <c r="B14" s="236" t="s">
        <v>132</v>
      </c>
      <c r="C14" s="237">
        <v>763495.97</v>
      </c>
      <c r="D14" s="240">
        <f t="shared" si="0"/>
        <v>2.0682068251055328E-4</v>
      </c>
      <c r="E14" s="239">
        <f>+ROUND(D14*'PART 2024'!D$13,2)</f>
        <v>30121.1</v>
      </c>
    </row>
    <row r="15" spans="1:5">
      <c r="A15" s="245">
        <v>21</v>
      </c>
      <c r="B15" s="236" t="s">
        <v>7</v>
      </c>
      <c r="C15" s="237">
        <v>1839645.86</v>
      </c>
      <c r="D15" s="240">
        <f t="shared" si="0"/>
        <v>4.9833506304285244E-4</v>
      </c>
      <c r="E15" s="239">
        <f>+ROUND(D15*'PART 2024'!D$13,2)</f>
        <v>72576.88</v>
      </c>
    </row>
    <row r="16" spans="1:5">
      <c r="A16" s="245">
        <v>22</v>
      </c>
      <c r="B16" s="236" t="s">
        <v>133</v>
      </c>
      <c r="C16" s="237">
        <v>44626623.109999999</v>
      </c>
      <c r="D16" s="240">
        <f t="shared" si="0"/>
        <v>1.2088745733329057E-2</v>
      </c>
      <c r="E16" s="239">
        <f>+ROUND(D16*'PART 2024'!D$13,2)</f>
        <v>1760589.32</v>
      </c>
    </row>
    <row r="17" spans="1:5">
      <c r="A17" s="245">
        <v>25</v>
      </c>
      <c r="B17" s="236" t="s">
        <v>8</v>
      </c>
      <c r="C17" s="237">
        <v>394530.73</v>
      </c>
      <c r="D17" s="240">
        <f t="shared" si="0"/>
        <v>1.0687301316074637E-4</v>
      </c>
      <c r="E17" s="239">
        <f>+ROUND(D17*'PART 2024'!D$13,2)</f>
        <v>15564.85</v>
      </c>
    </row>
    <row r="18" spans="1:5">
      <c r="A18" s="245">
        <v>27</v>
      </c>
      <c r="B18" s="236" t="s">
        <v>9</v>
      </c>
      <c r="C18" s="237">
        <v>57841.1</v>
      </c>
      <c r="D18" s="240">
        <f t="shared" si="0"/>
        <v>1.5668367940646975E-5</v>
      </c>
      <c r="E18" s="239">
        <f>+ROUND(D18*'PART 2024'!D$13,2)</f>
        <v>2281.92</v>
      </c>
    </row>
    <row r="19" spans="1:5">
      <c r="A19" s="245">
        <v>26</v>
      </c>
      <c r="B19" s="236" t="s">
        <v>134</v>
      </c>
      <c r="C19" s="237">
        <v>1918609.57</v>
      </c>
      <c r="D19" s="240">
        <f t="shared" si="0"/>
        <v>5.1972525898031805E-4</v>
      </c>
      <c r="E19" s="239">
        <f>+ROUND(D19*'PART 2024'!D$13,2)</f>
        <v>75692.12</v>
      </c>
    </row>
    <row r="20" spans="1:5">
      <c r="A20" s="245">
        <v>29</v>
      </c>
      <c r="B20" s="236" t="s">
        <v>10</v>
      </c>
      <c r="C20" s="237">
        <v>1175132.01</v>
      </c>
      <c r="D20" s="240">
        <f t="shared" si="0"/>
        <v>3.1832729169244773E-4</v>
      </c>
      <c r="E20" s="239">
        <f>+ROUND(D20*'PART 2024'!D$13,2)</f>
        <v>46360.78</v>
      </c>
    </row>
    <row r="21" spans="1:5">
      <c r="A21" s="245">
        <v>30</v>
      </c>
      <c r="B21" s="236" t="s">
        <v>135</v>
      </c>
      <c r="C21" s="237">
        <v>316480074.45999998</v>
      </c>
      <c r="D21" s="240">
        <f t="shared" si="0"/>
        <v>8.5730151268261334E-2</v>
      </c>
      <c r="E21" s="239">
        <f>+ROUND(D21*'PART 2024'!D$13,2)</f>
        <v>12485628.539999999</v>
      </c>
    </row>
    <row r="22" spans="1:5">
      <c r="A22" s="245">
        <v>32</v>
      </c>
      <c r="B22" s="236" t="s">
        <v>11</v>
      </c>
      <c r="C22" s="237">
        <v>475214.99</v>
      </c>
      <c r="D22" s="240">
        <f t="shared" si="0"/>
        <v>1.2872928271127058E-4</v>
      </c>
      <c r="E22" s="239">
        <f>+ROUND(D22*'PART 2024'!D$13,2)</f>
        <v>18747.97</v>
      </c>
    </row>
    <row r="23" spans="1:5">
      <c r="A23" s="245">
        <v>33</v>
      </c>
      <c r="B23" s="236" t="s">
        <v>12</v>
      </c>
      <c r="C23" s="237">
        <v>162966143.88</v>
      </c>
      <c r="D23" s="240">
        <f t="shared" si="0"/>
        <v>4.4145313698741105E-2</v>
      </c>
      <c r="E23" s="239">
        <f>+ROUND(D23*'PART 2024'!D$13,2)</f>
        <v>6429266.4900000002</v>
      </c>
    </row>
    <row r="24" spans="1:5">
      <c r="A24" s="245">
        <v>34</v>
      </c>
      <c r="B24" s="236" t="s">
        <v>136</v>
      </c>
      <c r="C24" s="237">
        <v>6917930.9900000002</v>
      </c>
      <c r="D24" s="240">
        <f t="shared" si="0"/>
        <v>1.8739734918479106E-3</v>
      </c>
      <c r="E24" s="239">
        <f>+ROUND(D24*'PART 2024'!D$13,2)</f>
        <v>272923.08</v>
      </c>
    </row>
    <row r="25" spans="1:5">
      <c r="A25" s="245">
        <v>35</v>
      </c>
      <c r="B25" s="236" t="s">
        <v>13</v>
      </c>
      <c r="C25" s="237">
        <v>133500.34</v>
      </c>
      <c r="D25" s="240">
        <f t="shared" si="0"/>
        <v>3.6163427862220303E-5</v>
      </c>
      <c r="E25" s="239">
        <f>+ROUND(D25*'PART 2024'!D$13,2)</f>
        <v>5266.79</v>
      </c>
    </row>
    <row r="26" spans="1:5">
      <c r="A26" s="245">
        <v>61</v>
      </c>
      <c r="B26" s="236" t="s">
        <v>14</v>
      </c>
      <c r="C26" s="237">
        <v>49480</v>
      </c>
      <c r="D26" s="240">
        <f t="shared" si="0"/>
        <v>1.3403459576377563E-5</v>
      </c>
      <c r="E26" s="239">
        <f>+ROUND(D26*'PART 2024'!D$13,2)</f>
        <v>1952.06</v>
      </c>
    </row>
    <row r="27" spans="1:5">
      <c r="A27" s="245">
        <v>36</v>
      </c>
      <c r="B27" s="236" t="s">
        <v>15</v>
      </c>
      <c r="C27" s="237">
        <v>22405467.289999999</v>
      </c>
      <c r="D27" s="240">
        <f t="shared" si="0"/>
        <v>6.069336602897428E-3</v>
      </c>
      <c r="E27" s="239">
        <f>+ROUND(D27*'PART 2024'!D$13,2)</f>
        <v>883930.35</v>
      </c>
    </row>
    <row r="28" spans="1:5">
      <c r="A28" s="245">
        <v>28</v>
      </c>
      <c r="B28" s="236" t="s">
        <v>16</v>
      </c>
      <c r="C28" s="237">
        <v>203616495.72</v>
      </c>
      <c r="D28" s="240">
        <f t="shared" si="0"/>
        <v>5.5156941581784059E-2</v>
      </c>
      <c r="E28" s="239">
        <f>+ROUND(D28*'PART 2024'!D$13,2)</f>
        <v>8032985.75</v>
      </c>
    </row>
    <row r="29" spans="1:5">
      <c r="A29" s="245">
        <v>37</v>
      </c>
      <c r="B29" s="236" t="s">
        <v>137</v>
      </c>
      <c r="C29" s="237">
        <v>56896.27</v>
      </c>
      <c r="D29" s="240">
        <f t="shared" si="0"/>
        <v>1.5412426333703788E-5</v>
      </c>
      <c r="E29" s="239">
        <f>+ROUND(D29*'PART 2024'!D$13,2)</f>
        <v>2244.65</v>
      </c>
    </row>
    <row r="30" spans="1:5">
      <c r="A30" s="245">
        <v>39</v>
      </c>
      <c r="B30" s="236" t="s">
        <v>17</v>
      </c>
      <c r="C30" s="237">
        <v>181488.24</v>
      </c>
      <c r="D30" s="240">
        <f t="shared" si="0"/>
        <v>4.9162697825948049E-5</v>
      </c>
      <c r="E30" s="239">
        <f>+ROUND(D30*'PART 2024'!D$13,2)</f>
        <v>7159.99</v>
      </c>
    </row>
    <row r="31" spans="1:5">
      <c r="A31" s="245">
        <v>38</v>
      </c>
      <c r="B31" s="236" t="s">
        <v>18</v>
      </c>
      <c r="C31" s="237">
        <v>283715.78000000003</v>
      </c>
      <c r="D31" s="240">
        <f t="shared" si="0"/>
        <v>7.6854749159467066E-5</v>
      </c>
      <c r="E31" s="239">
        <f>+ROUND(D31*'PART 2024'!D$13,2)</f>
        <v>11193.03</v>
      </c>
    </row>
    <row r="32" spans="1:5">
      <c r="A32" s="245">
        <v>40</v>
      </c>
      <c r="B32" s="236" t="s">
        <v>19</v>
      </c>
      <c r="C32" s="237">
        <v>395602.13</v>
      </c>
      <c r="D32" s="240">
        <f t="shared" si="0"/>
        <v>1.0716324086062777E-4</v>
      </c>
      <c r="E32" s="239">
        <f>+ROUND(D32*'PART 2024'!D$13,2)</f>
        <v>15607.12</v>
      </c>
    </row>
    <row r="33" spans="1:5">
      <c r="A33" s="245">
        <v>41</v>
      </c>
      <c r="B33" s="236" t="s">
        <v>20</v>
      </c>
      <c r="C33" s="237">
        <v>50562</v>
      </c>
      <c r="D33" s="240">
        <f t="shared" si="0"/>
        <v>1.3696558672207001E-5</v>
      </c>
      <c r="E33" s="239">
        <f>+ROUND(D33*'PART 2024'!D$13,2)</f>
        <v>1994.75</v>
      </c>
    </row>
    <row r="34" spans="1:5">
      <c r="A34" s="245">
        <v>42</v>
      </c>
      <c r="B34" s="236" t="s">
        <v>138</v>
      </c>
      <c r="C34" s="237">
        <v>91985471.849999994</v>
      </c>
      <c r="D34" s="240">
        <f t="shared" si="0"/>
        <v>2.4917614259407663E-2</v>
      </c>
      <c r="E34" s="239">
        <f>+ROUND(D34*'PART 2024'!D$13,2)</f>
        <v>3628969.17</v>
      </c>
    </row>
    <row r="35" spans="1:5">
      <c r="A35" s="245">
        <v>43</v>
      </c>
      <c r="B35" s="236" t="s">
        <v>21</v>
      </c>
      <c r="C35" s="237">
        <v>549855.99</v>
      </c>
      <c r="D35" s="240">
        <f t="shared" si="0"/>
        <v>1.489485152545284E-4</v>
      </c>
      <c r="E35" s="239">
        <f>+ROUND(D35*'PART 2024'!D$13,2)</f>
        <v>21692.67</v>
      </c>
    </row>
    <row r="36" spans="1:5">
      <c r="A36" s="245">
        <v>44</v>
      </c>
      <c r="B36" s="236" t="s">
        <v>22</v>
      </c>
      <c r="C36" s="237">
        <v>12436723.25</v>
      </c>
      <c r="D36" s="240">
        <f t="shared" si="0"/>
        <v>3.3689393157633387E-3</v>
      </c>
      <c r="E36" s="239">
        <f>+ROUND(D36*'PART 2024'!D$13,2)</f>
        <v>490647.97</v>
      </c>
    </row>
    <row r="37" spans="1:5">
      <c r="A37" s="245">
        <v>46</v>
      </c>
      <c r="B37" s="236" t="s">
        <v>139</v>
      </c>
      <c r="C37" s="237">
        <v>12650165.189999999</v>
      </c>
      <c r="D37" s="240">
        <f t="shared" si="0"/>
        <v>3.4267578366746886E-3</v>
      </c>
      <c r="E37" s="239">
        <f>+ROUND(D37*'PART 2024'!D$13,2)</f>
        <v>499068.59</v>
      </c>
    </row>
    <row r="38" spans="1:5">
      <c r="A38" s="245">
        <v>49</v>
      </c>
      <c r="B38" s="236" t="s">
        <v>23</v>
      </c>
      <c r="C38" s="237">
        <v>151537.84</v>
      </c>
      <c r="D38" s="240">
        <f t="shared" si="0"/>
        <v>4.1049541486086722E-5</v>
      </c>
      <c r="E38" s="239">
        <f>+ROUND(D38*'PART 2024'!D$13,2)</f>
        <v>5978.4</v>
      </c>
    </row>
    <row r="39" spans="1:5">
      <c r="A39" s="245">
        <v>48</v>
      </c>
      <c r="B39" s="236" t="s">
        <v>24</v>
      </c>
      <c r="C39" s="237">
        <v>4717.08</v>
      </c>
      <c r="D39" s="240">
        <f t="shared" si="0"/>
        <v>1.2777928677958585E-6</v>
      </c>
      <c r="E39" s="239">
        <f>+ROUND(D39*'PART 2024'!D$13,2)</f>
        <v>186.1</v>
      </c>
    </row>
    <row r="40" spans="1:5">
      <c r="A40" s="245">
        <v>47</v>
      </c>
      <c r="B40" s="236" t="s">
        <v>25</v>
      </c>
      <c r="C40" s="237">
        <v>274766</v>
      </c>
      <c r="D40" s="240">
        <f t="shared" si="0"/>
        <v>7.4430375383244905E-5</v>
      </c>
      <c r="E40" s="239">
        <f>+ROUND(D40*'PART 2024'!D$13,2)</f>
        <v>10839.94</v>
      </c>
    </row>
    <row r="41" spans="1:5">
      <c r="A41" s="245">
        <v>45</v>
      </c>
      <c r="B41" s="236" t="s">
        <v>26</v>
      </c>
      <c r="C41" s="237">
        <v>43556496.25</v>
      </c>
      <c r="D41" s="240">
        <f t="shared" si="0"/>
        <v>1.1798862909771947E-2</v>
      </c>
      <c r="E41" s="239">
        <f>+ROUND(D41*'PART 2024'!D$13,2)</f>
        <v>1718371.16</v>
      </c>
    </row>
    <row r="42" spans="1:5">
      <c r="A42" s="245">
        <v>70</v>
      </c>
      <c r="B42" s="236" t="s">
        <v>27</v>
      </c>
      <c r="C42" s="237">
        <v>918119421</v>
      </c>
      <c r="D42" s="240">
        <f t="shared" si="0"/>
        <v>0.24870607408368378</v>
      </c>
      <c r="E42" s="239">
        <f>+ROUND(D42*'PART 2024'!D$13,2)</f>
        <v>36221231.5</v>
      </c>
    </row>
    <row r="43" spans="1:5">
      <c r="A43" s="245">
        <v>50</v>
      </c>
      <c r="B43" s="236" t="s">
        <v>140</v>
      </c>
      <c r="C43" s="237">
        <v>381613.55</v>
      </c>
      <c r="D43" s="240">
        <f t="shared" si="0"/>
        <v>1.0337392464072227E-4</v>
      </c>
      <c r="E43" s="239">
        <f>+ROUND(D43*'PART 2024'!D$13,2)</f>
        <v>15055.24</v>
      </c>
    </row>
    <row r="44" spans="1:5">
      <c r="A44" s="245">
        <v>51</v>
      </c>
      <c r="B44" s="236" t="s">
        <v>141</v>
      </c>
      <c r="C44" s="237">
        <v>74273002.030000001</v>
      </c>
      <c r="D44" s="240">
        <f t="shared" si="0"/>
        <v>2.0119546894206017E-2</v>
      </c>
      <c r="E44" s="239">
        <f>+ROUND(D44*'PART 2024'!D$13,2)</f>
        <v>2930184.83</v>
      </c>
    </row>
    <row r="45" spans="1:5">
      <c r="A45" s="245">
        <v>52</v>
      </c>
      <c r="B45" s="236" t="s">
        <v>142</v>
      </c>
      <c r="C45" s="237">
        <v>1222989.4099999999</v>
      </c>
      <c r="D45" s="240">
        <f t="shared" si="0"/>
        <v>3.3129121097964521E-4</v>
      </c>
      <c r="E45" s="239">
        <f>+ROUND(D45*'PART 2024'!D$13,2)</f>
        <v>48248.82</v>
      </c>
    </row>
    <row r="46" spans="1:5">
      <c r="A46" s="245">
        <v>53</v>
      </c>
      <c r="B46" s="236" t="s">
        <v>28</v>
      </c>
      <c r="C46" s="237">
        <v>83663</v>
      </c>
      <c r="D46" s="240">
        <f t="shared" si="0"/>
        <v>2.2663169736024172E-5</v>
      </c>
      <c r="E46" s="239">
        <f>+ROUND(D46*'PART 2024'!D$13,2)</f>
        <v>3300.63</v>
      </c>
    </row>
    <row r="47" spans="1:5">
      <c r="A47" s="245">
        <v>54</v>
      </c>
      <c r="B47" s="236" t="s">
        <v>29</v>
      </c>
      <c r="C47" s="237">
        <v>3661490.91</v>
      </c>
      <c r="D47" s="240">
        <f t="shared" si="0"/>
        <v>9.9184812856626726E-4</v>
      </c>
      <c r="E47" s="239">
        <f>+ROUND(D47*'PART 2024'!D$13,2)</f>
        <v>144451.48000000001</v>
      </c>
    </row>
    <row r="48" spans="1:5">
      <c r="A48" s="245">
        <v>55</v>
      </c>
      <c r="B48" s="236" t="s">
        <v>30</v>
      </c>
      <c r="C48" s="237">
        <v>79016556.980000004</v>
      </c>
      <c r="D48" s="240">
        <f t="shared" si="0"/>
        <v>2.1404511466167429E-2</v>
      </c>
      <c r="E48" s="239">
        <f>+ROUND(D48*'PART 2024'!D$13,2)</f>
        <v>3117325.41</v>
      </c>
    </row>
    <row r="49" spans="1:5">
      <c r="A49" s="245">
        <v>58</v>
      </c>
      <c r="B49" s="236" t="s">
        <v>143</v>
      </c>
      <c r="C49" s="237">
        <v>135594272</v>
      </c>
      <c r="D49" s="240">
        <f t="shared" si="0"/>
        <v>3.6730645584889733E-2</v>
      </c>
      <c r="E49" s="239">
        <f>+ROUND(D49*'PART 2024'!D$13,2)</f>
        <v>5349403.8</v>
      </c>
    </row>
    <row r="50" spans="1:5">
      <c r="A50" s="245">
        <v>31</v>
      </c>
      <c r="B50" s="236" t="s">
        <v>144</v>
      </c>
      <c r="C50" s="237">
        <v>573157470.60000002</v>
      </c>
      <c r="D50" s="240">
        <f t="shared" si="0"/>
        <v>0.15526056968645741</v>
      </c>
      <c r="E50" s="239">
        <f>+ROUND(D50*'PART 2024'!D$13,2)</f>
        <v>22611948.899999999</v>
      </c>
    </row>
    <row r="51" spans="1:5">
      <c r="A51" s="245">
        <v>57</v>
      </c>
      <c r="B51" s="236" t="s">
        <v>31</v>
      </c>
      <c r="C51" s="237">
        <v>224854678.83000001</v>
      </c>
      <c r="D51" s="240">
        <f t="shared" si="0"/>
        <v>6.0910076763485553E-2</v>
      </c>
      <c r="E51" s="239">
        <f>+ROUND(D51*'PART 2024'!D$13,2)</f>
        <v>8870864.9299999997</v>
      </c>
    </row>
    <row r="52" spans="1:5">
      <c r="A52" s="245">
        <v>56</v>
      </c>
      <c r="B52" s="236" t="s">
        <v>32</v>
      </c>
      <c r="C52" s="237">
        <v>146566590</v>
      </c>
      <c r="D52" s="240">
        <f t="shared" si="0"/>
        <v>3.9702897419411964E-2</v>
      </c>
      <c r="E52" s="239">
        <f>+ROUND(D52*'PART 2024'!D$13,2)</f>
        <v>5782278.7199999997</v>
      </c>
    </row>
    <row r="53" spans="1:5">
      <c r="A53" s="245">
        <v>59</v>
      </c>
      <c r="B53" s="236" t="s">
        <v>33</v>
      </c>
      <c r="C53" s="237">
        <v>2389868.13</v>
      </c>
      <c r="D53" s="240">
        <f t="shared" si="0"/>
        <v>6.4738279857170654E-4</v>
      </c>
      <c r="E53" s="239">
        <f>+ROUND(D53*'PART 2024'!D$13,2)</f>
        <v>94283.99</v>
      </c>
    </row>
    <row r="54" spans="1:5">
      <c r="A54" s="245">
        <v>60</v>
      </c>
      <c r="B54" s="236" t="s">
        <v>34</v>
      </c>
      <c r="C54" s="237">
        <v>257810.83</v>
      </c>
      <c r="D54" s="240">
        <f t="shared" si="0"/>
        <v>6.9837450247723276E-5</v>
      </c>
      <c r="E54" s="239">
        <f>+ROUND(D54*'PART 2024'!D$13,2)</f>
        <v>10171.040000000001</v>
      </c>
    </row>
    <row r="55" spans="1:5" ht="13.5" thickBot="1">
      <c r="B55" s="241" t="s">
        <v>188</v>
      </c>
      <c r="C55" s="242">
        <f>+SUM(C4:C54)</f>
        <v>3691584230.0300002</v>
      </c>
      <c r="D55" s="243">
        <f>SUM(D4:D54)</f>
        <v>0.99999999999999989</v>
      </c>
      <c r="E55" s="244">
        <f>SUM(E4:E54)</f>
        <v>145638708.84</v>
      </c>
    </row>
  </sheetData>
  <mergeCells count="2">
    <mergeCell ref="B1:E1"/>
    <mergeCell ref="B2:E2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portrait" r:id="rId1"/>
  <headerFooter>
    <oddHeader>&amp;L
&amp;C&amp;"-,Negrita"&amp;12COORDINACIÓN DE PLANEACIÓN HACENDARIA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PART 2024</vt:lpstr>
      <vt:lpstr>Distr</vt:lpstr>
      <vt:lpstr>COEF Art 14 F I</vt:lpstr>
      <vt:lpstr>PISO 2021</vt:lpstr>
      <vt:lpstr>Copete</vt:lpstr>
      <vt:lpstr>COEF Art 14 F II</vt:lpstr>
      <vt:lpstr>Art.14 Frac.III</vt:lpstr>
      <vt:lpstr>ISR BI</vt:lpstr>
      <vt:lpstr>'Art.14 Frac.III'!Área_de_impresión</vt:lpstr>
      <vt:lpstr>'COEF Art 14 F I'!Área_de_impresión</vt:lpstr>
      <vt:lpstr>'COEF Art 14 F II'!Área_de_impresión</vt:lpstr>
      <vt:lpstr>Copete!Área_de_impresión</vt:lpstr>
      <vt:lpstr>Distr!Área_de_impresión</vt:lpstr>
      <vt:lpstr>'ISR BI'!Área_de_impresión</vt:lpstr>
      <vt:lpstr>'PART 2024'!Área_de_impresión</vt:lpstr>
      <vt:lpstr>'PISO 2021'!Área_de_impresión</vt:lpstr>
      <vt:lpstr>'COEF Art 14 F I'!Títulos_a_imprimir</vt:lpstr>
      <vt:lpstr>Distr!Títulos_a_imprimir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2024-01-26T17:31:59Z</cp:lastPrinted>
  <dcterms:created xsi:type="dcterms:W3CDTF">2009-12-17T23:31:03Z</dcterms:created>
  <dcterms:modified xsi:type="dcterms:W3CDTF">2024-02-12T19:36:22Z</dcterms:modified>
</cp:coreProperties>
</file>