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cipaciones 2023\Participaciones\Ajuste Anual 2023\"/>
    </mc:Choice>
  </mc:AlternateContent>
  <xr:revisionPtr revIDLastSave="0" documentId="13_ncr:1_{B8477019-3F37-45ED-86A0-516176EF8007}" xr6:coauthVersionLast="36" xr6:coauthVersionMax="47" xr10:uidLastSave="{00000000-0000-0000-0000-000000000000}"/>
  <bookViews>
    <workbookView xWindow="0" yWindow="0" windowWidth="28800" windowHeight="12810" firstSheet="1" activeTab="10" xr2:uid="{2C91B675-7C5E-4AE4-B19E-10BC605ED5F7}"/>
  </bookViews>
  <sheets>
    <sheet name="PART 2023" sheetId="43" r:id="rId1"/>
    <sheet name="Distr Def" sheetId="51" r:id="rId2"/>
    <sheet name="Distr Prov" sheetId="55" r:id="rId3"/>
    <sheet name="COEF Art 14 F I" sheetId="1" r:id="rId4"/>
    <sheet name="PISO 2021" sheetId="28" r:id="rId5"/>
    <sheet name="Copete" sheetId="52" r:id="rId6"/>
    <sheet name="COEF Art 14 F II" sheetId="36" r:id="rId7"/>
    <sheet name="Art.14 Frac.III" sheetId="44" r:id="rId8"/>
    <sheet name="ISR BI" sheetId="49" r:id="rId9"/>
    <sheet name="Anexo VI" sheetId="53" r:id="rId10"/>
    <sheet name="Anexo VI (2)" sheetId="5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___pre2004" localSheetId="9" hidden="1">{"'beneficiarios'!$A$1:$C$7"}</definedName>
    <definedName name="_____pre2004" localSheetId="10" hidden="1">{"'beneficiarios'!$A$1:$C$7"}</definedName>
    <definedName name="_____pre2004" hidden="1">{"'beneficiarios'!$A$1:$C$7"}</definedName>
    <definedName name="____pre2004" localSheetId="9" hidden="1">{"'beneficiarios'!$A$1:$C$7"}</definedName>
    <definedName name="____pre2004" localSheetId="10" hidden="1">{"'beneficiarios'!$A$1:$C$7"}</definedName>
    <definedName name="____pre2004" hidden="1">{"'beneficiarios'!$A$1:$C$7"}</definedName>
    <definedName name="___pre2004" localSheetId="9" hidden="1">{"'beneficiarios'!$A$1:$C$7"}</definedName>
    <definedName name="___pre2004" localSheetId="10" hidden="1">{"'beneficiarios'!$A$1:$C$7"}</definedName>
    <definedName name="___pre2004" hidden="1">{"'beneficiarios'!$A$1:$C$7"}</definedName>
    <definedName name="__pre2004" localSheetId="9" hidden="1">{"'beneficiarios'!$A$1:$C$7"}</definedName>
    <definedName name="__pre2004" localSheetId="10" hidden="1">{"'beneficiarios'!$A$1:$C$7"}</definedName>
    <definedName name="__pre2004" hidden="1">{"'beneficiarios'!$A$1:$C$7"}</definedName>
    <definedName name="_xlnm._FilterDatabase" localSheetId="1" hidden="1">'Distr Def'!#REF!</definedName>
    <definedName name="_xlnm._FilterDatabase" localSheetId="2" hidden="1">'Distr Prov'!#REF!</definedName>
    <definedName name="_pre2004" localSheetId="9" hidden="1">{"'beneficiarios'!$A$1:$C$7"}</definedName>
    <definedName name="_pre2004" localSheetId="10" hidden="1">{"'beneficiarios'!$A$1:$C$7"}</definedName>
    <definedName name="_pre2004" hidden="1">{"'beneficiarios'!$A$1:$C$7"}</definedName>
    <definedName name="A_impresión_IM" localSheetId="9">#REF!</definedName>
    <definedName name="A_impresión_IM" localSheetId="10">#REF!</definedName>
    <definedName name="A_impresión_IM" localSheetId="6">#REF!</definedName>
    <definedName name="A_impresión_IM" localSheetId="5">#REF!</definedName>
    <definedName name="A_impresión_IM" localSheetId="1">#REF!</definedName>
    <definedName name="A_impresión_IM" localSheetId="2">#REF!</definedName>
    <definedName name="A_impresión_IM" localSheetId="8">#REF!</definedName>
    <definedName name="A_impresión_IM" localSheetId="0">#REF!</definedName>
    <definedName name="A_impresión_IM" localSheetId="4">#REF!</definedName>
    <definedName name="A_impresión_IM">#REF!</definedName>
    <definedName name="Adria" localSheetId="9" hidden="1">{"'beneficiarios'!$A$1:$C$7"}</definedName>
    <definedName name="Adria" localSheetId="10" hidden="1">{"'beneficiarios'!$A$1:$C$7"}</definedName>
    <definedName name="Adria" hidden="1">{"'beneficiarios'!$A$1:$C$7"}</definedName>
    <definedName name="AJUSTES" localSheetId="9" hidden="1">{"'beneficiarios'!$A$1:$C$7"}</definedName>
    <definedName name="AJUSTES" localSheetId="10" hidden="1">{"'beneficiarios'!$A$1:$C$7"}</definedName>
    <definedName name="AJUSTES" localSheetId="5" hidden="1">{"'beneficiarios'!$A$1:$C$7"}</definedName>
    <definedName name="AJUSTES" localSheetId="1" hidden="1">{"'beneficiarios'!$A$1:$C$7"}</definedName>
    <definedName name="AJUSTES" localSheetId="2" hidden="1">{"'beneficiarios'!$A$1:$C$7"}</definedName>
    <definedName name="AJUSTES" localSheetId="8" hidden="1">{"'beneficiarios'!$A$1:$C$7"}</definedName>
    <definedName name="AJUSTES" localSheetId="0" hidden="1">{"'beneficiarios'!$A$1:$C$7"}</definedName>
    <definedName name="AJUSTES" localSheetId="4" hidden="1">{"'beneficiarios'!$A$1:$C$7"}</definedName>
    <definedName name="AJUSTES" hidden="1">{"'beneficiarios'!$A$1:$C$7"}</definedName>
    <definedName name="_xlnm.Print_Area" localSheetId="9">'Anexo VI'!$A$1:$D$54</definedName>
    <definedName name="_xlnm.Print_Area" localSheetId="7">'Art.14 Frac.III'!$B$1:$R$56</definedName>
    <definedName name="_xlnm.Print_Area" localSheetId="3">'COEF Art 14 F I'!$B$3:$AF$60</definedName>
    <definedName name="_xlnm.Print_Area" localSheetId="6">'COEF Art 14 F II'!$B$3:$N$62</definedName>
    <definedName name="_xlnm.Print_Area" localSheetId="5">Copete!$B$1:$H$60</definedName>
    <definedName name="_xlnm.Print_Area" localSheetId="1">'Distr Def'!$B$2:$L$58</definedName>
    <definedName name="_xlnm.Print_Area" localSheetId="2">'Distr Prov'!$B$2:$L$58</definedName>
    <definedName name="_xlnm.Print_Area" localSheetId="8">'ISR BI'!$B$1:$E$55</definedName>
    <definedName name="_xlnm.Print_Area" localSheetId="0">'PART 2023'!$A$1:$G$15</definedName>
    <definedName name="_xlnm.Print_Area" localSheetId="4">'PISO 2021'!$B$1:$J$57</definedName>
    <definedName name="_xlnm.Database" localSheetId="9">#REF!</definedName>
    <definedName name="_xlnm.Database" localSheetId="10">#REF!</definedName>
    <definedName name="_xlnm.Database" localSheetId="6">#REF!</definedName>
    <definedName name="_xlnm.Database" localSheetId="5">#REF!</definedName>
    <definedName name="_xlnm.Database" localSheetId="1">#REF!</definedName>
    <definedName name="_xlnm.Database" localSheetId="2">#REF!</definedName>
    <definedName name="_xlnm.Database" localSheetId="8">#REF!</definedName>
    <definedName name="_xlnm.Database" localSheetId="0">#REF!</definedName>
    <definedName name="_xlnm.Database" localSheetId="4">#REF!</definedName>
    <definedName name="_xlnm.Database">#REF!</definedName>
    <definedName name="cierre_2001" localSheetId="9">'[1]deuda c sadm'!#REF!</definedName>
    <definedName name="cierre_2001" localSheetId="10">'[1]deuda c sadm'!#REF!</definedName>
    <definedName name="cierre_2001" localSheetId="6">'[1]deuda c sadm'!#REF!</definedName>
    <definedName name="cierre_2001" localSheetId="5">'[1]deuda c sadm'!#REF!</definedName>
    <definedName name="cierre_2001" localSheetId="1">'[1]deuda c sadm'!#REF!</definedName>
    <definedName name="cierre_2001" localSheetId="2">'[1]deuda c sadm'!#REF!</definedName>
    <definedName name="cierre_2001" localSheetId="8">'[1]deuda c sadm'!#REF!</definedName>
    <definedName name="cierre_2001" localSheetId="0">'[1]deuda c sadm'!#REF!</definedName>
    <definedName name="cierre_2001">'[1]deuda c sadm'!#REF!</definedName>
    <definedName name="deuda" localSheetId="10">'[1]deuda c sadm'!#REF!</definedName>
    <definedName name="deuda" localSheetId="6">'[1]deuda c sadm'!#REF!</definedName>
    <definedName name="deuda" localSheetId="5">'[1]deuda c sadm'!#REF!</definedName>
    <definedName name="deuda" localSheetId="1">'[1]deuda c sadm'!#REF!</definedName>
    <definedName name="deuda" localSheetId="2">'[1]deuda c sadm'!#REF!</definedName>
    <definedName name="deuda" localSheetId="8">'[1]deuda c sadm'!#REF!</definedName>
    <definedName name="deuda" localSheetId="0">'[1]deuda c sadm'!#REF!</definedName>
    <definedName name="deuda">'[1]deuda c sadm'!#REF!</definedName>
    <definedName name="Deuda_ingTot" localSheetId="10">'[1]deuda c sadm'!#REF!</definedName>
    <definedName name="Deuda_ingTot" localSheetId="6">'[1]deuda c sadm'!#REF!</definedName>
    <definedName name="Deuda_ingTot" localSheetId="5">'[1]deuda c sadm'!#REF!</definedName>
    <definedName name="Deuda_ingTot" localSheetId="1">'[1]deuda c sadm'!#REF!</definedName>
    <definedName name="Deuda_ingTot" localSheetId="2">'[1]deuda c sadm'!#REF!</definedName>
    <definedName name="Deuda_ingTot" localSheetId="8">'[1]deuda c sadm'!#REF!</definedName>
    <definedName name="Deuda_ingTot" localSheetId="0">'[1]deuda c sadm'!#REF!</definedName>
    <definedName name="Deuda_ingTot">'[1]deuda c sadm'!#REF!</definedName>
    <definedName name="eeee" localSheetId="9" hidden="1">{"'beneficiarios'!$A$1:$C$7"}</definedName>
    <definedName name="eeee" localSheetId="10" hidden="1">{"'beneficiarios'!$A$1:$C$7"}</definedName>
    <definedName name="eeee" hidden="1">{"'beneficiarios'!$A$1:$C$7"}</definedName>
    <definedName name="ENERO" localSheetId="9">#REF!</definedName>
    <definedName name="ENERO" localSheetId="10">#REF!</definedName>
    <definedName name="ENERO" localSheetId="6">#REF!</definedName>
    <definedName name="ENERO" localSheetId="5">#REF!</definedName>
    <definedName name="ENERO" localSheetId="1">#REF!</definedName>
    <definedName name="ENERO" localSheetId="2">#REF!</definedName>
    <definedName name="ENERO" localSheetId="8">#REF!</definedName>
    <definedName name="ENERO" localSheetId="0">#REF!</definedName>
    <definedName name="ENERO" localSheetId="4">#REF!</definedName>
    <definedName name="ENERO">#REF!</definedName>
    <definedName name="ENEROAJUSTE" localSheetId="5">#REF!</definedName>
    <definedName name="ENEROAJUSTE" localSheetId="1">#REF!</definedName>
    <definedName name="ENEROAJUSTE" localSheetId="2">#REF!</definedName>
    <definedName name="ENEROAJUSTE" localSheetId="8">#REF!</definedName>
    <definedName name="ENEROAJUSTE" localSheetId="0">#REF!</definedName>
    <definedName name="ENEROAJUSTE">#REF!</definedName>
    <definedName name="Estado">'[2]Compendio de nombres'!$C$2:$C$33</definedName>
    <definedName name="Estado1" localSheetId="5">#REF!</definedName>
    <definedName name="Estado1" localSheetId="1">#REF!</definedName>
    <definedName name="Estado1" localSheetId="2">#REF!</definedName>
    <definedName name="Estado1" localSheetId="8">#REF!</definedName>
    <definedName name="Estado1">#REF!</definedName>
    <definedName name="ewee" localSheetId="9" hidden="1">{"'beneficiarios'!$A$1:$C$7"}</definedName>
    <definedName name="ewee" localSheetId="10" hidden="1">{"'beneficiarios'!$A$1:$C$7"}</definedName>
    <definedName name="ewee" hidden="1">{"'beneficiarios'!$A$1:$C$7"}</definedName>
    <definedName name="Fto_1" localSheetId="9">#REF!</definedName>
    <definedName name="Fto_1" localSheetId="10">#REF!</definedName>
    <definedName name="Fto_1" localSheetId="6">#REF!</definedName>
    <definedName name="Fto_1" localSheetId="5">#REF!</definedName>
    <definedName name="Fto_1" localSheetId="1">#REF!</definedName>
    <definedName name="Fto_1" localSheetId="2">#REF!</definedName>
    <definedName name="Fto_1" localSheetId="8">#REF!</definedName>
    <definedName name="Fto_1" localSheetId="0">#REF!</definedName>
    <definedName name="Fto_1" localSheetId="4">#REF!</definedName>
    <definedName name="Fto_1">#REF!</definedName>
    <definedName name="HTML_CodePage" hidden="1">1252</definedName>
    <definedName name="HTML_Control" localSheetId="9" hidden="1">{"'beneficiarios'!$A$1:$C$7"}</definedName>
    <definedName name="HTML_Control" localSheetId="10" hidden="1">{"'beneficiarios'!$A$1:$C$7"}</definedName>
    <definedName name="HTML_Control" localSheetId="5" hidden="1">{"'beneficiarios'!$A$1:$C$7"}</definedName>
    <definedName name="HTML_Control" localSheetId="1" hidden="1">{"'beneficiarios'!$A$1:$C$7"}</definedName>
    <definedName name="HTML_Control" localSheetId="2" hidden="1">{"'beneficiarios'!$A$1:$C$7"}</definedName>
    <definedName name="HTML_Control" localSheetId="8" hidden="1">{"'beneficiarios'!$A$1:$C$7"}</definedName>
    <definedName name="HTML_Control" localSheetId="0" hidden="1">{"'beneficiarios'!$A$1:$C$7"}</definedName>
    <definedName name="HTML_Control" localSheetId="4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9" hidden="1">{"'beneficiarios'!$A$1:$C$7"}</definedName>
    <definedName name="INDICADORES" localSheetId="10" hidden="1">{"'beneficiarios'!$A$1:$C$7"}</definedName>
    <definedName name="INDICADORES" localSheetId="5" hidden="1">{"'beneficiarios'!$A$1:$C$7"}</definedName>
    <definedName name="INDICADORES" localSheetId="1" hidden="1">{"'beneficiarios'!$A$1:$C$7"}</definedName>
    <definedName name="INDICADORES" localSheetId="2" hidden="1">{"'beneficiarios'!$A$1:$C$7"}</definedName>
    <definedName name="INDICADORES" localSheetId="8" hidden="1">{"'beneficiarios'!$A$1:$C$7"}</definedName>
    <definedName name="INDICADORES" localSheetId="0" hidden="1">{"'beneficiarios'!$A$1:$C$7"}</definedName>
    <definedName name="INDICADORES" localSheetId="4" hidden="1">{"'beneficiarios'!$A$1:$C$7"}</definedName>
    <definedName name="INDICADORES" hidden="1">{"'beneficiarios'!$A$1:$C$7"}</definedName>
    <definedName name="ingresofederales" localSheetId="9" hidden="1">{"'beneficiarios'!$A$1:$C$7"}</definedName>
    <definedName name="ingresofederales" localSheetId="10" hidden="1">{"'beneficiarios'!$A$1:$C$7"}</definedName>
    <definedName name="ingresofederales" localSheetId="5" hidden="1">{"'beneficiarios'!$A$1:$C$7"}</definedName>
    <definedName name="ingresofederales" localSheetId="1" hidden="1">{"'beneficiarios'!$A$1:$C$7"}</definedName>
    <definedName name="ingresofederales" localSheetId="2" hidden="1">{"'beneficiarios'!$A$1:$C$7"}</definedName>
    <definedName name="ingresofederales" localSheetId="8" hidden="1">{"'beneficiarios'!$A$1:$C$7"}</definedName>
    <definedName name="ingresofederales" localSheetId="0" hidden="1">{"'beneficiarios'!$A$1:$C$7"}</definedName>
    <definedName name="ingresofederales" localSheetId="4" hidden="1">{"'beneficiarios'!$A$1:$C$7"}</definedName>
    <definedName name="ingresofederales" hidden="1">{"'beneficiarios'!$A$1:$C$7"}</definedName>
    <definedName name="MUNICIPIOS" localSheetId="7">[3]IMPORTE!$A$3:$A$53</definedName>
    <definedName name="MUNICIPIOS" localSheetId="8" hidden="1">{"'beneficiarios'!$A$1:$C$7"}</definedName>
    <definedName name="MUNICIPIOS" hidden="1">{"'beneficiarios'!$A$1:$C$7"}</definedName>
    <definedName name="Notas_Fto_1" localSheetId="9">#REF!</definedName>
    <definedName name="Notas_Fto_1" localSheetId="10">#REF!</definedName>
    <definedName name="Notas_Fto_1" localSheetId="6">#REF!</definedName>
    <definedName name="Notas_Fto_1" localSheetId="5">#REF!</definedName>
    <definedName name="Notas_Fto_1" localSheetId="1">#REF!</definedName>
    <definedName name="Notas_Fto_1" localSheetId="2">#REF!</definedName>
    <definedName name="Notas_Fto_1" localSheetId="8">#REF!</definedName>
    <definedName name="Notas_Fto_1" localSheetId="0">#REF!</definedName>
    <definedName name="Notas_Fto_1">#REF!</definedName>
    <definedName name="nument">[4]Hoja1!$C$1</definedName>
    <definedName name="numnivel">[4]Hoja1!$G$1</definedName>
    <definedName name="Partidas">[5]TECHO!$B$1:$Q$2798</definedName>
    <definedName name="PRONGPOS" localSheetId="10">[4]GRUPOS!#REF!</definedName>
    <definedName name="PRONGPOS" localSheetId="2">[4]GRUPOS!#REF!</definedName>
    <definedName name="PRONGPOS">[4]GRUPOS!#REF!</definedName>
    <definedName name="Reclasificado2006" localSheetId="9" hidden="1">{"'beneficiarios'!$A$1:$C$7"}</definedName>
    <definedName name="Reclasificado2006" localSheetId="10" hidden="1">{"'beneficiarios'!$A$1:$C$7"}</definedName>
    <definedName name="Reclasificado2006" hidden="1">{"'beneficiarios'!$A$1:$C$7"}</definedName>
    <definedName name="SINAJUSTE" localSheetId="9" hidden="1">{"'beneficiarios'!$A$1:$C$7"}</definedName>
    <definedName name="SINAJUSTE" localSheetId="10" hidden="1">{"'beneficiarios'!$A$1:$C$7"}</definedName>
    <definedName name="SINAJUSTE" localSheetId="5" hidden="1">{"'beneficiarios'!$A$1:$C$7"}</definedName>
    <definedName name="SINAJUSTE" localSheetId="1" hidden="1">{"'beneficiarios'!$A$1:$C$7"}</definedName>
    <definedName name="SINAJUSTE" localSheetId="2" hidden="1">{"'beneficiarios'!$A$1:$C$7"}</definedName>
    <definedName name="SINAJUSTE" localSheetId="8" hidden="1">{"'beneficiarios'!$A$1:$C$7"}</definedName>
    <definedName name="SINAJUSTE" localSheetId="0" hidden="1">{"'beneficiarios'!$A$1:$C$7"}</definedName>
    <definedName name="SINAJUSTE" localSheetId="4" hidden="1">{"'beneficiarios'!$A$1:$C$7"}</definedName>
    <definedName name="SINAJUSTE" hidden="1">{"'beneficiarios'!$A$1:$C$7"}</definedName>
    <definedName name="t" localSheetId="9">#REF!</definedName>
    <definedName name="t" localSheetId="10">#REF!</definedName>
    <definedName name="t" localSheetId="5">#REF!</definedName>
    <definedName name="t" localSheetId="1">#REF!</definedName>
    <definedName name="t" localSheetId="2">#REF!</definedName>
    <definedName name="t" localSheetId="8">#REF!</definedName>
    <definedName name="t" localSheetId="0">#REF!</definedName>
    <definedName name="t">#REF!</definedName>
    <definedName name="_xlnm.Print_Titles" localSheetId="3">'COEF Art 14 F I'!$B:$B,'COEF Art 14 F I'!$3:$3</definedName>
    <definedName name="_xlnm.Print_Titles" localSheetId="1">'Distr Def'!$B:$B</definedName>
    <definedName name="_xlnm.Print_Titles" localSheetId="2">'Distr Prov'!$B:$B</definedName>
    <definedName name="TOT" localSheetId="9">#REF!</definedName>
    <definedName name="TOT" localSheetId="10">#REF!</definedName>
    <definedName name="TOT" localSheetId="6">#REF!</definedName>
    <definedName name="TOT" localSheetId="5">#REF!</definedName>
    <definedName name="TOT" localSheetId="1">#REF!</definedName>
    <definedName name="TOT" localSheetId="2">#REF!</definedName>
    <definedName name="TOT" localSheetId="8">#REF!</definedName>
    <definedName name="TOT" localSheetId="0">#REF!</definedName>
    <definedName name="TOT">#REF!</definedName>
    <definedName name="TOTAL" localSheetId="9">#REF!</definedName>
    <definedName name="TOTAL" localSheetId="10">#REF!</definedName>
    <definedName name="TOTAL" localSheetId="6">#REF!</definedName>
    <definedName name="TOTAL" localSheetId="5">#REF!</definedName>
    <definedName name="TOTAL" localSheetId="1">#REF!</definedName>
    <definedName name="TOTAL" localSheetId="2">#REF!</definedName>
    <definedName name="TOTAL" localSheetId="8">#REF!</definedName>
    <definedName name="TOTAL" localSheetId="0">#REF!</definedName>
    <definedName name="TOTAL">#REF!</definedName>
    <definedName name="wrn.a." localSheetId="9" hidden="1">{"DIRECTA",#N/A,FALSE,"SHCP397";"INDIRECTA",#N/A,FALSE,"SHCP397";"Noregistrada",#N/A,FALSE,"SHCP397"}</definedName>
    <definedName name="wrn.a." localSheetId="10" hidden="1">{"DIRECTA",#N/A,FALSE,"SHCP397";"INDIRECTA",#N/A,FALSE,"SHCP397";"Noregistrada",#N/A,FALSE,"SHCP397"}</definedName>
    <definedName name="wrn.a." hidden="1">{"DIRECTA",#N/A,FALSE,"SHCP397";"INDIRECTA",#N/A,FALSE,"SHCP397";"Noregistrada",#N/A,FALSE,"SHCP397"}</definedName>
    <definedName name="xxx" localSheetId="9" hidden="1">{"'beneficiarios'!$A$1:$C$7"}</definedName>
    <definedName name="xxx" localSheetId="10" hidden="1">{"'beneficiarios'!$A$1:$C$7"}</definedName>
    <definedName name="xxx" hidden="1">{"'beneficiarios'!$A$1:$C$7"}</definedName>
  </definedNames>
  <calcPr calcId="191029"/>
</workbook>
</file>

<file path=xl/calcChain.xml><?xml version="1.0" encoding="utf-8"?>
<calcChain xmlns="http://schemas.openxmlformats.org/spreadsheetml/2006/main">
  <c r="B4" i="54" l="1"/>
  <c r="C4" i="54"/>
  <c r="L7" i="55"/>
  <c r="B4" i="53" s="1"/>
  <c r="E4" i="54"/>
  <c r="F4" i="54"/>
  <c r="G4" i="54"/>
  <c r="H4" i="54"/>
  <c r="I4" i="54"/>
  <c r="J4" i="54"/>
  <c r="L8" i="55"/>
  <c r="B5" i="53" s="1"/>
  <c r="C5" i="54"/>
  <c r="D5" i="54"/>
  <c r="E5" i="54"/>
  <c r="F5" i="54"/>
  <c r="G5" i="54"/>
  <c r="H5" i="54"/>
  <c r="I5" i="54"/>
  <c r="J5" i="54"/>
  <c r="L9" i="55"/>
  <c r="B6" i="53" s="1"/>
  <c r="C6" i="54"/>
  <c r="D6" i="54"/>
  <c r="E6" i="54"/>
  <c r="F6" i="54"/>
  <c r="G6" i="54"/>
  <c r="H6" i="54"/>
  <c r="I6" i="54"/>
  <c r="J6" i="54"/>
  <c r="L10" i="55"/>
  <c r="B7" i="53" s="1"/>
  <c r="C7" i="54"/>
  <c r="D7" i="54"/>
  <c r="E7" i="54"/>
  <c r="F7" i="54"/>
  <c r="G7" i="54"/>
  <c r="H7" i="54"/>
  <c r="I7" i="54"/>
  <c r="J7" i="54"/>
  <c r="L11" i="55"/>
  <c r="B8" i="53" s="1"/>
  <c r="C8" i="54"/>
  <c r="D8" i="54"/>
  <c r="E8" i="54"/>
  <c r="F8" i="54"/>
  <c r="G8" i="54"/>
  <c r="H8" i="54"/>
  <c r="I8" i="54"/>
  <c r="J8" i="54"/>
  <c r="L12" i="55"/>
  <c r="B9" i="53" s="1"/>
  <c r="C9" i="54"/>
  <c r="D9" i="54"/>
  <c r="E9" i="54"/>
  <c r="F9" i="54"/>
  <c r="G9" i="54"/>
  <c r="H9" i="54"/>
  <c r="I9" i="54"/>
  <c r="J9" i="54"/>
  <c r="L13" i="55"/>
  <c r="B10" i="53" s="1"/>
  <c r="C10" i="54"/>
  <c r="D10" i="54"/>
  <c r="E10" i="54"/>
  <c r="F10" i="54"/>
  <c r="G10" i="54"/>
  <c r="H10" i="54"/>
  <c r="I10" i="54"/>
  <c r="J10" i="54"/>
  <c r="L14" i="55"/>
  <c r="B11" i="53" s="1"/>
  <c r="C11" i="54"/>
  <c r="D11" i="54"/>
  <c r="E11" i="54"/>
  <c r="F11" i="54"/>
  <c r="G11" i="54"/>
  <c r="H11" i="54"/>
  <c r="I11" i="54"/>
  <c r="J11" i="54"/>
  <c r="B12" i="54"/>
  <c r="C12" i="54"/>
  <c r="L15" i="55"/>
  <c r="B12" i="53" s="1"/>
  <c r="E12" i="54"/>
  <c r="F12" i="54"/>
  <c r="G12" i="54"/>
  <c r="H12" i="54"/>
  <c r="I12" i="54"/>
  <c r="J12" i="54"/>
  <c r="L16" i="55"/>
  <c r="B13" i="53" s="1"/>
  <c r="C13" i="54"/>
  <c r="D13" i="54"/>
  <c r="E13" i="54"/>
  <c r="F13" i="54"/>
  <c r="G13" i="54"/>
  <c r="H13" i="54"/>
  <c r="I13" i="54"/>
  <c r="J13" i="54"/>
  <c r="L17" i="55"/>
  <c r="B14" i="53" s="1"/>
  <c r="C14" i="54"/>
  <c r="D14" i="54"/>
  <c r="E14" i="54"/>
  <c r="F14" i="54"/>
  <c r="G14" i="54"/>
  <c r="H14" i="54"/>
  <c r="I14" i="54"/>
  <c r="J14" i="54"/>
  <c r="L18" i="55"/>
  <c r="B15" i="53" s="1"/>
  <c r="C15" i="54"/>
  <c r="D15" i="54"/>
  <c r="E15" i="54"/>
  <c r="F15" i="54"/>
  <c r="G15" i="54"/>
  <c r="H15" i="54"/>
  <c r="I15" i="54"/>
  <c r="J15" i="54"/>
  <c r="L19" i="55"/>
  <c r="B16" i="53" s="1"/>
  <c r="C16" i="54"/>
  <c r="D16" i="54"/>
  <c r="E16" i="54"/>
  <c r="F16" i="54"/>
  <c r="G16" i="54"/>
  <c r="H16" i="54"/>
  <c r="I16" i="54"/>
  <c r="J16" i="54"/>
  <c r="B17" i="54"/>
  <c r="C17" i="54"/>
  <c r="D17" i="54"/>
  <c r="E17" i="54"/>
  <c r="F17" i="54"/>
  <c r="G17" i="54"/>
  <c r="H17" i="54"/>
  <c r="I17" i="54"/>
  <c r="J17" i="54"/>
  <c r="L20" i="55"/>
  <c r="B17" i="53" s="1"/>
  <c r="L21" i="55"/>
  <c r="B18" i="53" s="1"/>
  <c r="C18" i="54"/>
  <c r="D18" i="54"/>
  <c r="E18" i="54"/>
  <c r="F18" i="54"/>
  <c r="G18" i="54"/>
  <c r="H18" i="54"/>
  <c r="I18" i="54"/>
  <c r="J18" i="54"/>
  <c r="B19" i="54"/>
  <c r="C19" i="54"/>
  <c r="D19" i="54"/>
  <c r="E19" i="54"/>
  <c r="F19" i="54"/>
  <c r="G19" i="54"/>
  <c r="H19" i="54"/>
  <c r="I19" i="54"/>
  <c r="J19" i="54"/>
  <c r="B20" i="54"/>
  <c r="C20" i="54"/>
  <c r="E20" i="54"/>
  <c r="F20" i="54"/>
  <c r="G20" i="54"/>
  <c r="H20" i="54"/>
  <c r="I20" i="54"/>
  <c r="J20" i="54"/>
  <c r="L24" i="55"/>
  <c r="B21" i="53" s="1"/>
  <c r="C21" i="54"/>
  <c r="D21" i="54"/>
  <c r="E21" i="54"/>
  <c r="F21" i="54"/>
  <c r="G21" i="54"/>
  <c r="H21" i="54"/>
  <c r="I21" i="54"/>
  <c r="J21" i="54"/>
  <c r="B22" i="54"/>
  <c r="C22" i="54"/>
  <c r="D22" i="54"/>
  <c r="E22" i="54"/>
  <c r="F22" i="54"/>
  <c r="G22" i="54"/>
  <c r="H22" i="54"/>
  <c r="I22" i="54"/>
  <c r="J22" i="54"/>
  <c r="L26" i="55"/>
  <c r="B23" i="53" s="1"/>
  <c r="C23" i="54"/>
  <c r="D23" i="54"/>
  <c r="E23" i="54"/>
  <c r="F23" i="54"/>
  <c r="G23" i="54"/>
  <c r="H23" i="54"/>
  <c r="I23" i="54"/>
  <c r="J23" i="54"/>
  <c r="L27" i="55"/>
  <c r="B24" i="53" s="1"/>
  <c r="C24" i="54"/>
  <c r="D24" i="54"/>
  <c r="E24" i="54"/>
  <c r="F24" i="54"/>
  <c r="G24" i="54"/>
  <c r="H24" i="54"/>
  <c r="I24" i="54"/>
  <c r="J24" i="54"/>
  <c r="B25" i="54"/>
  <c r="C25" i="54"/>
  <c r="D25" i="54"/>
  <c r="E25" i="54"/>
  <c r="F25" i="54"/>
  <c r="G25" i="54"/>
  <c r="H25" i="54"/>
  <c r="I25" i="54"/>
  <c r="J25" i="54"/>
  <c r="L29" i="55"/>
  <c r="B26" i="53" s="1"/>
  <c r="C26" i="54"/>
  <c r="D26" i="54"/>
  <c r="E26" i="54"/>
  <c r="F26" i="54"/>
  <c r="G26" i="54"/>
  <c r="H26" i="54"/>
  <c r="I26" i="54"/>
  <c r="J26" i="54"/>
  <c r="B27" i="54"/>
  <c r="C27" i="54"/>
  <c r="D27" i="54"/>
  <c r="E27" i="54"/>
  <c r="F27" i="54"/>
  <c r="G27" i="54"/>
  <c r="H27" i="54"/>
  <c r="I27" i="54"/>
  <c r="J27" i="54"/>
  <c r="B28" i="54"/>
  <c r="C28" i="54"/>
  <c r="E28" i="54"/>
  <c r="F28" i="54"/>
  <c r="G28" i="54"/>
  <c r="H28" i="54"/>
  <c r="I28" i="54"/>
  <c r="J28" i="54"/>
  <c r="L32" i="55"/>
  <c r="B29" i="53" s="1"/>
  <c r="C29" i="54"/>
  <c r="D29" i="54"/>
  <c r="E29" i="54"/>
  <c r="F29" i="54"/>
  <c r="G29" i="54"/>
  <c r="H29" i="54"/>
  <c r="I29" i="54"/>
  <c r="J29" i="54"/>
  <c r="B30" i="54"/>
  <c r="C30" i="54"/>
  <c r="D30" i="54"/>
  <c r="E30" i="54"/>
  <c r="F30" i="54"/>
  <c r="G30" i="54"/>
  <c r="H30" i="54"/>
  <c r="I30" i="54"/>
  <c r="J30" i="54"/>
  <c r="L34" i="55"/>
  <c r="B31" i="53" s="1"/>
  <c r="C31" i="54"/>
  <c r="D31" i="54"/>
  <c r="E31" i="54"/>
  <c r="F31" i="54"/>
  <c r="G31" i="54"/>
  <c r="H31" i="54"/>
  <c r="I31" i="54"/>
  <c r="J31" i="54"/>
  <c r="L35" i="55"/>
  <c r="B32" i="53" s="1"/>
  <c r="C32" i="54"/>
  <c r="D32" i="54"/>
  <c r="E32" i="54"/>
  <c r="F32" i="54"/>
  <c r="G32" i="54"/>
  <c r="H32" i="54"/>
  <c r="I32" i="54"/>
  <c r="J32" i="54"/>
  <c r="B33" i="54"/>
  <c r="C33" i="54"/>
  <c r="D33" i="54"/>
  <c r="E33" i="54"/>
  <c r="F33" i="54"/>
  <c r="G33" i="54"/>
  <c r="H33" i="54"/>
  <c r="I33" i="54"/>
  <c r="J33" i="54"/>
  <c r="L37" i="55"/>
  <c r="B34" i="53" s="1"/>
  <c r="C34" i="54"/>
  <c r="D34" i="54"/>
  <c r="E34" i="54"/>
  <c r="F34" i="54"/>
  <c r="G34" i="54"/>
  <c r="H34" i="54"/>
  <c r="I34" i="54"/>
  <c r="J34" i="54"/>
  <c r="L38" i="55"/>
  <c r="B35" i="53" s="1"/>
  <c r="C35" i="54"/>
  <c r="D35" i="54"/>
  <c r="E35" i="54"/>
  <c r="F35" i="54"/>
  <c r="G35" i="54"/>
  <c r="H35" i="54"/>
  <c r="I35" i="54"/>
  <c r="J35" i="54"/>
  <c r="B36" i="54"/>
  <c r="C36" i="54"/>
  <c r="E36" i="54"/>
  <c r="F36" i="54"/>
  <c r="G36" i="54"/>
  <c r="H36" i="54"/>
  <c r="I36" i="54"/>
  <c r="J36" i="54"/>
  <c r="L40" i="55"/>
  <c r="B37" i="53" s="1"/>
  <c r="C37" i="54"/>
  <c r="D37" i="54"/>
  <c r="E37" i="54"/>
  <c r="F37" i="54"/>
  <c r="G37" i="54"/>
  <c r="H37" i="54"/>
  <c r="I37" i="54"/>
  <c r="J37" i="54"/>
  <c r="B38" i="54"/>
  <c r="C38" i="54"/>
  <c r="D38" i="54"/>
  <c r="E38" i="54"/>
  <c r="F38" i="54"/>
  <c r="L41" i="55"/>
  <c r="B38" i="53" s="1"/>
  <c r="H38" i="54"/>
  <c r="I38" i="54"/>
  <c r="J38" i="54"/>
  <c r="L42" i="55"/>
  <c r="B39" i="53" s="1"/>
  <c r="C39" i="54"/>
  <c r="D39" i="54"/>
  <c r="E39" i="54"/>
  <c r="F39" i="54"/>
  <c r="G39" i="54"/>
  <c r="H39" i="54"/>
  <c r="I39" i="54"/>
  <c r="J39" i="54"/>
  <c r="L43" i="55"/>
  <c r="B40" i="53" s="1"/>
  <c r="C40" i="54"/>
  <c r="D40" i="54"/>
  <c r="E40" i="54"/>
  <c r="F40" i="54"/>
  <c r="G40" i="54"/>
  <c r="H40" i="54"/>
  <c r="I40" i="54"/>
  <c r="J40" i="54"/>
  <c r="B41" i="54"/>
  <c r="C41" i="54"/>
  <c r="D41" i="54"/>
  <c r="E41" i="54"/>
  <c r="F41" i="54"/>
  <c r="G41" i="54"/>
  <c r="H41" i="54"/>
  <c r="J41" i="54"/>
  <c r="L45" i="55"/>
  <c r="B42" i="53" s="1"/>
  <c r="C42" i="54"/>
  <c r="D42" i="54"/>
  <c r="E42" i="54"/>
  <c r="F42" i="54"/>
  <c r="G42" i="54"/>
  <c r="H42" i="54"/>
  <c r="I42" i="54"/>
  <c r="J42" i="54"/>
  <c r="B43" i="54"/>
  <c r="C43" i="54"/>
  <c r="D43" i="54"/>
  <c r="E43" i="54"/>
  <c r="F43" i="54"/>
  <c r="G43" i="54"/>
  <c r="H43" i="54"/>
  <c r="I43" i="54"/>
  <c r="J43" i="54"/>
  <c r="L46" i="55"/>
  <c r="B43" i="53" s="1"/>
  <c r="B44" i="54"/>
  <c r="C44" i="54"/>
  <c r="D44" i="54"/>
  <c r="E44" i="54"/>
  <c r="F44" i="54"/>
  <c r="G44" i="54"/>
  <c r="H44" i="54"/>
  <c r="I44" i="54"/>
  <c r="J44" i="54"/>
  <c r="L48" i="55"/>
  <c r="B45" i="53" s="1"/>
  <c r="C45" i="54"/>
  <c r="D45" i="54"/>
  <c r="E45" i="54"/>
  <c r="F45" i="54"/>
  <c r="G45" i="54"/>
  <c r="H45" i="54"/>
  <c r="I45" i="54"/>
  <c r="J45" i="54"/>
  <c r="B46" i="54"/>
  <c r="C46" i="54"/>
  <c r="D46" i="54"/>
  <c r="E46" i="54"/>
  <c r="F46" i="54"/>
  <c r="G46" i="54"/>
  <c r="H46" i="54"/>
  <c r="I46" i="54"/>
  <c r="J46" i="54"/>
  <c r="L50" i="55"/>
  <c r="B47" i="53" s="1"/>
  <c r="C47" i="54"/>
  <c r="D47" i="54"/>
  <c r="E47" i="54"/>
  <c r="F47" i="54"/>
  <c r="G47" i="54"/>
  <c r="H47" i="54"/>
  <c r="I47" i="54"/>
  <c r="J47" i="54"/>
  <c r="L51" i="55"/>
  <c r="B48" i="53" s="1"/>
  <c r="C48" i="54"/>
  <c r="D48" i="54"/>
  <c r="E48" i="54"/>
  <c r="F48" i="54"/>
  <c r="G48" i="54"/>
  <c r="H48" i="54"/>
  <c r="I48" i="54"/>
  <c r="J48" i="54"/>
  <c r="B49" i="54"/>
  <c r="C49" i="54"/>
  <c r="D49" i="54"/>
  <c r="E49" i="54"/>
  <c r="F49" i="54"/>
  <c r="G49" i="54"/>
  <c r="H49" i="54"/>
  <c r="I49" i="54"/>
  <c r="J49" i="54"/>
  <c r="L53" i="55"/>
  <c r="B50" i="53" s="1"/>
  <c r="C50" i="54"/>
  <c r="D50" i="54"/>
  <c r="E50" i="54"/>
  <c r="F50" i="54"/>
  <c r="G50" i="54"/>
  <c r="H50" i="54"/>
  <c r="I50" i="54"/>
  <c r="J50" i="54"/>
  <c r="B51" i="54"/>
  <c r="C51" i="54"/>
  <c r="D51" i="54"/>
  <c r="E51" i="54"/>
  <c r="F51" i="54"/>
  <c r="G51" i="54"/>
  <c r="H51" i="54"/>
  <c r="I51" i="54"/>
  <c r="J51" i="54"/>
  <c r="B52" i="54"/>
  <c r="C52" i="54"/>
  <c r="D52" i="54"/>
  <c r="E52" i="54"/>
  <c r="F52" i="54"/>
  <c r="G52" i="54"/>
  <c r="H52" i="54"/>
  <c r="I52" i="54"/>
  <c r="J52" i="54"/>
  <c r="L55" i="55"/>
  <c r="B52" i="53" s="1"/>
  <c r="L56" i="55"/>
  <c r="B53" i="53" s="1"/>
  <c r="C53" i="54"/>
  <c r="D53" i="54"/>
  <c r="E53" i="54"/>
  <c r="F53" i="54"/>
  <c r="G53" i="54"/>
  <c r="H53" i="54"/>
  <c r="I53" i="54"/>
  <c r="J53" i="54"/>
  <c r="J3" i="54"/>
  <c r="I3" i="54"/>
  <c r="H3" i="54"/>
  <c r="G3" i="54"/>
  <c r="F3" i="54"/>
  <c r="E3" i="54"/>
  <c r="D3" i="54"/>
  <c r="C3" i="54"/>
  <c r="B3" i="54"/>
  <c r="L22" i="55" l="1"/>
  <c r="B19" i="53" s="1"/>
  <c r="L36" i="55"/>
  <c r="B33" i="53" s="1"/>
  <c r="B11" i="54"/>
  <c r="B9" i="54"/>
  <c r="L31" i="55"/>
  <c r="B28" i="53" s="1"/>
  <c r="L23" i="55"/>
  <c r="B20" i="53" s="1"/>
  <c r="L49" i="55"/>
  <c r="B46" i="53" s="1"/>
  <c r="L25" i="55"/>
  <c r="B22" i="53" s="1"/>
  <c r="B40" i="54"/>
  <c r="B24" i="54"/>
  <c r="B8" i="54"/>
  <c r="G38" i="54"/>
  <c r="L54" i="55"/>
  <c r="B51" i="53" s="1"/>
  <c r="L44" i="55"/>
  <c r="B41" i="53" s="1"/>
  <c r="L30" i="55"/>
  <c r="B27" i="53" s="1"/>
  <c r="B39" i="54"/>
  <c r="B23" i="54"/>
  <c r="B7" i="54"/>
  <c r="B6" i="54"/>
  <c r="L47" i="55"/>
  <c r="B44" i="53" s="1"/>
  <c r="L39" i="55"/>
  <c r="B36" i="53" s="1"/>
  <c r="B53" i="54"/>
  <c r="B37" i="54"/>
  <c r="B21" i="54"/>
  <c r="B5" i="54"/>
  <c r="D36" i="54"/>
  <c r="D28" i="54"/>
  <c r="D20" i="54"/>
  <c r="D12" i="54"/>
  <c r="D4" i="54"/>
  <c r="L52" i="55"/>
  <c r="B49" i="53" s="1"/>
  <c r="L28" i="55"/>
  <c r="B25" i="53" s="1"/>
  <c r="L33" i="55"/>
  <c r="B30" i="53" s="1"/>
  <c r="B35" i="54"/>
  <c r="B50" i="54"/>
  <c r="B34" i="54"/>
  <c r="B18" i="54"/>
  <c r="I41" i="54"/>
  <c r="B48" i="54"/>
  <c r="B32" i="54"/>
  <c r="B16" i="54"/>
  <c r="B47" i="54"/>
  <c r="B31" i="54"/>
  <c r="B15" i="54"/>
  <c r="B14" i="54"/>
  <c r="B45" i="54"/>
  <c r="B29" i="54"/>
  <c r="B13" i="54"/>
  <c r="B42" i="54"/>
  <c r="B26" i="54"/>
  <c r="B10" i="54"/>
  <c r="C57" i="55"/>
  <c r="H57" i="55" l="1"/>
  <c r="J57" i="55"/>
  <c r="K57" i="55"/>
  <c r="I57" i="55"/>
  <c r="G57" i="55"/>
  <c r="F57" i="55"/>
  <c r="E57" i="55"/>
  <c r="D57" i="55"/>
  <c r="L6" i="55"/>
  <c r="B3" i="53" s="1"/>
  <c r="L57" i="55" l="1"/>
  <c r="J54" i="54" l="1"/>
  <c r="K3" i="54"/>
  <c r="K4" i="54"/>
  <c r="E54" i="54"/>
  <c r="F54" i="54"/>
  <c r="G54" i="54"/>
  <c r="K5" i="54"/>
  <c r="K6" i="54"/>
  <c r="K7" i="54"/>
  <c r="H54" i="54"/>
  <c r="I54" i="54"/>
  <c r="K8" i="54"/>
  <c r="K9" i="54"/>
  <c r="D54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50" i="54"/>
  <c r="K51" i="54"/>
  <c r="K52" i="54"/>
  <c r="K53" i="54"/>
  <c r="B54" i="54"/>
  <c r="C54" i="54"/>
  <c r="B54" i="53"/>
  <c r="K54" i="54" l="1"/>
  <c r="AE5" i="1" l="1"/>
  <c r="B10" i="43" l="1"/>
  <c r="C12" i="43" l="1"/>
  <c r="C13" i="43"/>
  <c r="C11" i="43"/>
  <c r="C5" i="43"/>
  <c r="C6" i="43"/>
  <c r="C7" i="43"/>
  <c r="C8" i="43"/>
  <c r="C9" i="43"/>
  <c r="C4" i="43" l="1"/>
  <c r="I7" i="28" l="1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6" i="28"/>
  <c r="D44" i="44" l="1"/>
  <c r="D45" i="44"/>
  <c r="D46" i="44"/>
  <c r="D47" i="44"/>
  <c r="D48" i="44"/>
  <c r="D49" i="44"/>
  <c r="D50" i="44"/>
  <c r="D51" i="44"/>
  <c r="D52" i="44"/>
  <c r="D53" i="44"/>
  <c r="D54" i="44"/>
  <c r="D5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5" i="44"/>
  <c r="F10" i="43" l="1"/>
  <c r="B14" i="43"/>
  <c r="C10" i="43" l="1"/>
  <c r="C14" i="43"/>
  <c r="C15" i="43" l="1"/>
  <c r="I57" i="28" l="1"/>
  <c r="J13" i="28" l="1"/>
  <c r="J54" i="28"/>
  <c r="J24" i="28"/>
  <c r="J46" i="28"/>
  <c r="J12" i="28"/>
  <c r="J22" i="28"/>
  <c r="J39" i="28"/>
  <c r="J30" i="28"/>
  <c r="J11" i="28"/>
  <c r="J52" i="28"/>
  <c r="J7" i="28"/>
  <c r="J14" i="28"/>
  <c r="J42" i="28"/>
  <c r="J20" i="28"/>
  <c r="J38" i="28"/>
  <c r="J6" i="28"/>
  <c r="J57" i="28" s="1"/>
  <c r="J19" i="28"/>
  <c r="J53" i="28"/>
  <c r="J9" i="28"/>
  <c r="J50" i="28"/>
  <c r="J37" i="28"/>
  <c r="J56" i="28"/>
  <c r="J8" i="28"/>
  <c r="J49" i="28"/>
  <c r="J36" i="28"/>
  <c r="J45" i="28"/>
  <c r="J35" i="28"/>
  <c r="J28" i="28"/>
  <c r="J34" i="28"/>
  <c r="J27" i="28"/>
  <c r="J18" i="28"/>
  <c r="J33" i="28"/>
  <c r="J25" i="28"/>
  <c r="J48" i="28"/>
  <c r="J26" i="28"/>
  <c r="J41" i="28"/>
  <c r="J23" i="28"/>
  <c r="J21" i="28"/>
  <c r="J17" i="28"/>
  <c r="J51" i="28"/>
  <c r="J31" i="28"/>
  <c r="J15" i="28"/>
  <c r="J29" i="28"/>
  <c r="J44" i="28"/>
  <c r="J43" i="28"/>
  <c r="J40" i="28"/>
  <c r="J32" i="28"/>
  <c r="J16" i="28"/>
  <c r="J10" i="28"/>
  <c r="J55" i="28"/>
  <c r="J47" i="28"/>
  <c r="F15" i="43"/>
  <c r="E13" i="43"/>
  <c r="C55" i="49"/>
  <c r="D54" i="49" s="1"/>
  <c r="E54" i="49" l="1"/>
  <c r="D19" i="49"/>
  <c r="E19" i="49" s="1"/>
  <c r="D31" i="49"/>
  <c r="E31" i="49" s="1"/>
  <c r="D9" i="49"/>
  <c r="E9" i="49" s="1"/>
  <c r="D21" i="49"/>
  <c r="E21" i="49" s="1"/>
  <c r="D33" i="49"/>
  <c r="E33" i="49" s="1"/>
  <c r="D39" i="49"/>
  <c r="E39" i="49" s="1"/>
  <c r="D45" i="49"/>
  <c r="E45" i="49" s="1"/>
  <c r="D51" i="49"/>
  <c r="E51" i="49" s="1"/>
  <c r="D13" i="49"/>
  <c r="E13" i="49" s="1"/>
  <c r="D25" i="49"/>
  <c r="E25" i="49" s="1"/>
  <c r="D37" i="49"/>
  <c r="E37" i="49" s="1"/>
  <c r="D43" i="49"/>
  <c r="E43" i="49" s="1"/>
  <c r="D49" i="49"/>
  <c r="E49" i="49" s="1"/>
  <c r="D8" i="49"/>
  <c r="E8" i="49" s="1"/>
  <c r="D20" i="49"/>
  <c r="E20" i="49" s="1"/>
  <c r="D32" i="49"/>
  <c r="E32" i="49" s="1"/>
  <c r="D38" i="49"/>
  <c r="E38" i="49" s="1"/>
  <c r="D44" i="49"/>
  <c r="E44" i="49" s="1"/>
  <c r="D50" i="49"/>
  <c r="E50" i="49" s="1"/>
  <c r="D15" i="49"/>
  <c r="E15" i="49" s="1"/>
  <c r="D27" i="49"/>
  <c r="E27" i="49" s="1"/>
  <c r="D26" i="49"/>
  <c r="E26" i="49" s="1"/>
  <c r="D10" i="49"/>
  <c r="E10" i="49" s="1"/>
  <c r="D22" i="49"/>
  <c r="E22" i="49" s="1"/>
  <c r="D34" i="49"/>
  <c r="E34" i="49" s="1"/>
  <c r="D46" i="49"/>
  <c r="E46" i="49" s="1"/>
  <c r="D11" i="49"/>
  <c r="E11" i="49" s="1"/>
  <c r="D35" i="49"/>
  <c r="E35" i="49" s="1"/>
  <c r="D7" i="49"/>
  <c r="E7" i="49" s="1"/>
  <c r="D14" i="49"/>
  <c r="E14" i="49" s="1"/>
  <c r="D4" i="49"/>
  <c r="E4" i="49" s="1"/>
  <c r="K6" i="51" s="1"/>
  <c r="D16" i="49"/>
  <c r="E16" i="49" s="1"/>
  <c r="D28" i="49"/>
  <c r="E28" i="49" s="1"/>
  <c r="D40" i="49"/>
  <c r="E40" i="49" s="1"/>
  <c r="D52" i="49"/>
  <c r="E52" i="49" s="1"/>
  <c r="D5" i="49"/>
  <c r="E5" i="49" s="1"/>
  <c r="D17" i="49"/>
  <c r="E17" i="49" s="1"/>
  <c r="D23" i="49"/>
  <c r="E23" i="49" s="1"/>
  <c r="D29" i="49"/>
  <c r="E29" i="49" s="1"/>
  <c r="D41" i="49"/>
  <c r="E41" i="49" s="1"/>
  <c r="D47" i="49"/>
  <c r="E47" i="49" s="1"/>
  <c r="D53" i="49"/>
  <c r="E53" i="49" s="1"/>
  <c r="D6" i="49"/>
  <c r="E6" i="49" s="1"/>
  <c r="D12" i="49"/>
  <c r="E12" i="49" s="1"/>
  <c r="D18" i="49"/>
  <c r="E18" i="49" s="1"/>
  <c r="D24" i="49"/>
  <c r="E24" i="49" s="1"/>
  <c r="D30" i="49"/>
  <c r="E30" i="49" s="1"/>
  <c r="D36" i="49"/>
  <c r="E36" i="49" s="1"/>
  <c r="D42" i="49"/>
  <c r="E42" i="49" s="1"/>
  <c r="D48" i="49"/>
  <c r="E48" i="49" s="1"/>
  <c r="K8" i="51" l="1"/>
  <c r="K26" i="51"/>
  <c r="K53" i="51"/>
  <c r="K22" i="51"/>
  <c r="K45" i="51"/>
  <c r="K35" i="51"/>
  <c r="K9" i="51"/>
  <c r="K39" i="51"/>
  <c r="K36" i="51"/>
  <c r="K47" i="51"/>
  <c r="K23" i="51"/>
  <c r="K32" i="51"/>
  <c r="K20" i="51"/>
  <c r="K37" i="51"/>
  <c r="K55" i="51"/>
  <c r="K49" i="51"/>
  <c r="K12" i="51"/>
  <c r="K29" i="51"/>
  <c r="K11" i="51"/>
  <c r="K51" i="51"/>
  <c r="K48" i="51"/>
  <c r="K24" i="51"/>
  <c r="K25" i="51"/>
  <c r="K19" i="51"/>
  <c r="K54" i="51"/>
  <c r="K46" i="51"/>
  <c r="K33" i="51"/>
  <c r="K10" i="51"/>
  <c r="K14" i="51"/>
  <c r="K27" i="51"/>
  <c r="K43" i="51"/>
  <c r="K28" i="51"/>
  <c r="K7" i="51"/>
  <c r="K17" i="51"/>
  <c r="K50" i="51"/>
  <c r="K44" i="51"/>
  <c r="K40" i="51"/>
  <c r="K21" i="51"/>
  <c r="K16" i="51"/>
  <c r="K13" i="51"/>
  <c r="K15" i="51"/>
  <c r="K31" i="51"/>
  <c r="K41" i="51"/>
  <c r="K52" i="51"/>
  <c r="K42" i="51"/>
  <c r="K30" i="51"/>
  <c r="K38" i="51"/>
  <c r="K18" i="51"/>
  <c r="K34" i="51"/>
  <c r="K56" i="51"/>
  <c r="D55" i="49"/>
  <c r="K57" i="51" l="1"/>
  <c r="E55" i="49"/>
  <c r="Q58" i="1"/>
  <c r="P58" i="1"/>
  <c r="R39" i="1" s="1"/>
  <c r="S39" i="1" s="1"/>
  <c r="O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R9" i="1" l="1"/>
  <c r="S9" i="1" s="1"/>
  <c r="R21" i="1"/>
  <c r="S21" i="1" s="1"/>
  <c r="R55" i="1"/>
  <c r="S55" i="1" s="1"/>
  <c r="R56" i="1"/>
  <c r="S56" i="1" s="1"/>
  <c r="R52" i="1"/>
  <c r="S52" i="1" s="1"/>
  <c r="R48" i="1"/>
  <c r="S48" i="1" s="1"/>
  <c r="R44" i="1"/>
  <c r="S44" i="1" s="1"/>
  <c r="R40" i="1"/>
  <c r="S40" i="1" s="1"/>
  <c r="R36" i="1"/>
  <c r="S36" i="1" s="1"/>
  <c r="R32" i="1"/>
  <c r="S32" i="1" s="1"/>
  <c r="R28" i="1"/>
  <c r="S28" i="1" s="1"/>
  <c r="R24" i="1"/>
  <c r="S24" i="1" s="1"/>
  <c r="R20" i="1"/>
  <c r="S20" i="1" s="1"/>
  <c r="R16" i="1"/>
  <c r="S16" i="1" s="1"/>
  <c r="R12" i="1"/>
  <c r="S12" i="1" s="1"/>
  <c r="R8" i="1"/>
  <c r="S8" i="1" s="1"/>
  <c r="R57" i="1"/>
  <c r="S57" i="1" s="1"/>
  <c r="R41" i="1"/>
  <c r="S41" i="1" s="1"/>
  <c r="R53" i="1"/>
  <c r="S53" i="1" s="1"/>
  <c r="R49" i="1"/>
  <c r="S49" i="1" s="1"/>
  <c r="R45" i="1"/>
  <c r="S45" i="1" s="1"/>
  <c r="R37" i="1"/>
  <c r="S37" i="1" s="1"/>
  <c r="R33" i="1"/>
  <c r="S33" i="1" s="1"/>
  <c r="R54" i="1"/>
  <c r="S54" i="1" s="1"/>
  <c r="R50" i="1"/>
  <c r="S50" i="1" s="1"/>
  <c r="R46" i="1"/>
  <c r="S46" i="1" s="1"/>
  <c r="R42" i="1"/>
  <c r="S42" i="1" s="1"/>
  <c r="R38" i="1"/>
  <c r="S38" i="1" s="1"/>
  <c r="R34" i="1"/>
  <c r="S34" i="1" s="1"/>
  <c r="R30" i="1"/>
  <c r="S30" i="1" s="1"/>
  <c r="R26" i="1"/>
  <c r="S26" i="1" s="1"/>
  <c r="R22" i="1"/>
  <c r="S22" i="1" s="1"/>
  <c r="R18" i="1"/>
  <c r="S18" i="1" s="1"/>
  <c r="R14" i="1"/>
  <c r="S14" i="1" s="1"/>
  <c r="R10" i="1"/>
  <c r="S10" i="1" s="1"/>
  <c r="R7" i="1"/>
  <c r="R19" i="1"/>
  <c r="S19" i="1" s="1"/>
  <c r="R31" i="1"/>
  <c r="S31" i="1" s="1"/>
  <c r="R43" i="1"/>
  <c r="S43" i="1" s="1"/>
  <c r="V58" i="1"/>
  <c r="W39" i="1" s="1"/>
  <c r="R17" i="1"/>
  <c r="S17" i="1" s="1"/>
  <c r="R29" i="1"/>
  <c r="S29" i="1" s="1"/>
  <c r="R15" i="1"/>
  <c r="S15" i="1" s="1"/>
  <c r="R47" i="1"/>
  <c r="S47" i="1" s="1"/>
  <c r="W50" i="1"/>
  <c r="R13" i="1"/>
  <c r="S13" i="1" s="1"/>
  <c r="R25" i="1"/>
  <c r="S25" i="1" s="1"/>
  <c r="R51" i="1"/>
  <c r="S51" i="1" s="1"/>
  <c r="R27" i="1"/>
  <c r="S27" i="1" s="1"/>
  <c r="R35" i="1"/>
  <c r="S35" i="1" s="1"/>
  <c r="R11" i="1"/>
  <c r="S11" i="1" s="1"/>
  <c r="R23" i="1"/>
  <c r="S23" i="1" s="1"/>
  <c r="W48" i="1" l="1"/>
  <c r="W38" i="1"/>
  <c r="W36" i="1"/>
  <c r="W24" i="1"/>
  <c r="W34" i="1"/>
  <c r="W12" i="1"/>
  <c r="W30" i="1"/>
  <c r="W54" i="1"/>
  <c r="W42" i="1"/>
  <c r="W56" i="1"/>
  <c r="W52" i="1"/>
  <c r="W16" i="1"/>
  <c r="W18" i="1"/>
  <c r="W20" i="1"/>
  <c r="R58" i="1"/>
  <c r="S7" i="1"/>
  <c r="W32" i="1"/>
  <c r="W8" i="1"/>
  <c r="W28" i="1"/>
  <c r="W11" i="1"/>
  <c r="W22" i="1"/>
  <c r="W44" i="1"/>
  <c r="W46" i="1"/>
  <c r="W55" i="1"/>
  <c r="W27" i="1"/>
  <c r="W26" i="1"/>
  <c r="W23" i="1"/>
  <c r="W40" i="1"/>
  <c r="W10" i="1"/>
  <c r="W51" i="1"/>
  <c r="W14" i="1"/>
  <c r="W35" i="1"/>
  <c r="W25" i="1"/>
  <c r="W13" i="1"/>
  <c r="W53" i="1"/>
  <c r="W17" i="1"/>
  <c r="W57" i="1"/>
  <c r="W41" i="1"/>
  <c r="W29" i="1"/>
  <c r="W43" i="1"/>
  <c r="W37" i="1"/>
  <c r="W31" i="1"/>
  <c r="W19" i="1"/>
  <c r="W7" i="1"/>
  <c r="W45" i="1"/>
  <c r="W49" i="1"/>
  <c r="W21" i="1"/>
  <c r="W9" i="1"/>
  <c r="W33" i="1"/>
  <c r="W15" i="1"/>
  <c r="W47" i="1"/>
  <c r="W58" i="1" l="1"/>
  <c r="S58" i="1"/>
  <c r="T7" i="1" s="1"/>
  <c r="T21" i="1" l="1"/>
  <c r="T9" i="1"/>
  <c r="T39" i="1"/>
  <c r="T55" i="1"/>
  <c r="T28" i="1"/>
  <c r="T13" i="1"/>
  <c r="T49" i="1"/>
  <c r="T57" i="1"/>
  <c r="T19" i="1"/>
  <c r="T40" i="1"/>
  <c r="T52" i="1"/>
  <c r="T18" i="1"/>
  <c r="T46" i="1"/>
  <c r="T16" i="1"/>
  <c r="T54" i="1"/>
  <c r="T35" i="1"/>
  <c r="T45" i="1"/>
  <c r="T24" i="1"/>
  <c r="T25" i="1"/>
  <c r="T36" i="1"/>
  <c r="T30" i="1"/>
  <c r="T26" i="1"/>
  <c r="T11" i="1"/>
  <c r="T29" i="1"/>
  <c r="T38" i="1"/>
  <c r="T31" i="1"/>
  <c r="T14" i="1"/>
  <c r="T53" i="1"/>
  <c r="T48" i="1"/>
  <c r="T41" i="1"/>
  <c r="T8" i="1"/>
  <c r="T37" i="1"/>
  <c r="T42" i="1"/>
  <c r="T44" i="1"/>
  <c r="T56" i="1"/>
  <c r="T15" i="1"/>
  <c r="T12" i="1"/>
  <c r="T32" i="1"/>
  <c r="T50" i="1"/>
  <c r="T47" i="1"/>
  <c r="T23" i="1"/>
  <c r="T20" i="1"/>
  <c r="T10" i="1"/>
  <c r="T17" i="1"/>
  <c r="T43" i="1"/>
  <c r="T51" i="1"/>
  <c r="T33" i="1"/>
  <c r="T27" i="1"/>
  <c r="T22" i="1"/>
  <c r="T34" i="1"/>
  <c r="T58" i="1" l="1"/>
  <c r="E12" i="43" l="1"/>
  <c r="E9" i="43"/>
  <c r="G9" i="43" s="1"/>
  <c r="E8" i="43"/>
  <c r="G8" i="43" s="1"/>
  <c r="E7" i="43"/>
  <c r="G7" i="43" s="1"/>
  <c r="E6" i="43"/>
  <c r="G6" i="43" s="1"/>
  <c r="E11" i="43"/>
  <c r="E5" i="43"/>
  <c r="G5" i="43" s="1"/>
  <c r="H57" i="28"/>
  <c r="G57" i="28"/>
  <c r="F57" i="28"/>
  <c r="E57" i="28"/>
  <c r="D57" i="28"/>
  <c r="C57" i="28"/>
  <c r="M5" i="36" l="1"/>
  <c r="Q3" i="44"/>
  <c r="E14" i="43"/>
  <c r="E4" i="43"/>
  <c r="E10" i="43" s="1"/>
  <c r="E15" i="43" l="1"/>
  <c r="G4" i="43"/>
  <c r="G10" i="43" l="1"/>
  <c r="E5" i="44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G15" i="43" l="1"/>
  <c r="E56" i="44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34" i="44" l="1"/>
  <c r="Q13" i="44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E24" i="51" s="1"/>
  <c r="R49" i="44" l="1"/>
  <c r="E50" i="51" s="1"/>
  <c r="R25" i="44"/>
  <c r="E26" i="51" s="1"/>
  <c r="R52" i="44"/>
  <c r="E53" i="51" s="1"/>
  <c r="R48" i="44"/>
  <c r="E49" i="51" s="1"/>
  <c r="R45" i="44"/>
  <c r="E46" i="51" s="1"/>
  <c r="R10" i="44"/>
  <c r="E11" i="51" s="1"/>
  <c r="R42" i="44"/>
  <c r="E43" i="51" s="1"/>
  <c r="R44" i="44"/>
  <c r="E45" i="51" s="1"/>
  <c r="R27" i="44"/>
  <c r="E28" i="51" s="1"/>
  <c r="R5" i="44"/>
  <c r="E6" i="51" s="1"/>
  <c r="R9" i="44"/>
  <c r="E10" i="51" s="1"/>
  <c r="R17" i="44"/>
  <c r="E18" i="51" s="1"/>
  <c r="R31" i="44"/>
  <c r="E32" i="51" s="1"/>
  <c r="R47" i="44"/>
  <c r="E48" i="51" s="1"/>
  <c r="R19" i="44"/>
  <c r="E20" i="51" s="1"/>
  <c r="R33" i="44"/>
  <c r="E34" i="51" s="1"/>
  <c r="R20" i="44"/>
  <c r="E21" i="51" s="1"/>
  <c r="R35" i="44"/>
  <c r="E36" i="51" s="1"/>
  <c r="R51" i="44"/>
  <c r="E52" i="51" s="1"/>
  <c r="R15" i="44"/>
  <c r="E16" i="51" s="1"/>
  <c r="R29" i="44"/>
  <c r="E30" i="51" s="1"/>
  <c r="R55" i="44"/>
  <c r="E56" i="51" s="1"/>
  <c r="R54" i="44"/>
  <c r="E55" i="51" s="1"/>
  <c r="R21" i="44"/>
  <c r="E22" i="51" s="1"/>
  <c r="R32" i="44"/>
  <c r="E33" i="51" s="1"/>
  <c r="R16" i="44"/>
  <c r="E17" i="51" s="1"/>
  <c r="R46" i="44"/>
  <c r="E47" i="51" s="1"/>
  <c r="R30" i="44"/>
  <c r="E31" i="51" s="1"/>
  <c r="R18" i="44"/>
  <c r="E19" i="51" s="1"/>
  <c r="R24" i="44"/>
  <c r="E25" i="51" s="1"/>
  <c r="R39" i="44"/>
  <c r="E40" i="51" s="1"/>
  <c r="R11" i="44"/>
  <c r="E12" i="51" s="1"/>
  <c r="R26" i="44"/>
  <c r="E27" i="51" s="1"/>
  <c r="R41" i="44"/>
  <c r="E42" i="51" s="1"/>
  <c r="R13" i="44"/>
  <c r="E14" i="51" s="1"/>
  <c r="R28" i="44"/>
  <c r="E29" i="51" s="1"/>
  <c r="R43" i="44"/>
  <c r="E44" i="51" s="1"/>
  <c r="R7" i="44"/>
  <c r="E8" i="51" s="1"/>
  <c r="R22" i="44"/>
  <c r="E23" i="51" s="1"/>
  <c r="R37" i="44"/>
  <c r="E38" i="51" s="1"/>
  <c r="R36" i="44"/>
  <c r="E37" i="51" s="1"/>
  <c r="R12" i="44"/>
  <c r="E13" i="51" s="1"/>
  <c r="R34" i="44"/>
  <c r="E35" i="51" s="1"/>
  <c r="R14" i="44"/>
  <c r="E15" i="51" s="1"/>
  <c r="R40" i="44"/>
  <c r="E41" i="51" s="1"/>
  <c r="R8" i="44"/>
  <c r="E9" i="51" s="1"/>
  <c r="R38" i="44"/>
  <c r="E39" i="51" s="1"/>
  <c r="R6" i="44"/>
  <c r="E7" i="51" s="1"/>
  <c r="R50" i="44"/>
  <c r="E51" i="51" s="1"/>
  <c r="R53" i="44"/>
  <c r="E54" i="51" s="1"/>
  <c r="D58" i="1"/>
  <c r="C58" i="1"/>
  <c r="J5" i="36"/>
  <c r="E58" i="36"/>
  <c r="F58" i="36" s="1"/>
  <c r="C58" i="36"/>
  <c r="D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D11" i="36"/>
  <c r="D7" i="36"/>
  <c r="D26" i="36"/>
  <c r="D8" i="36"/>
  <c r="D16" i="36"/>
  <c r="D33" i="36"/>
  <c r="D17" i="36"/>
  <c r="D48" i="36"/>
  <c r="D56" i="36"/>
  <c r="E7" i="1"/>
  <c r="F7" i="1" s="1"/>
  <c r="D47" i="36"/>
  <c r="D51" i="36"/>
  <c r="D55" i="36"/>
  <c r="K58" i="1"/>
  <c r="L10" i="1" s="1"/>
  <c r="M10" i="1" s="1"/>
  <c r="H58" i="1"/>
  <c r="I10" i="1" s="1"/>
  <c r="J10" i="1" s="1"/>
  <c r="D39" i="36" l="1"/>
  <c r="D46" i="36"/>
  <c r="D38" i="36"/>
  <c r="D29" i="36"/>
  <c r="D34" i="36"/>
  <c r="D25" i="36"/>
  <c r="D21" i="36"/>
  <c r="L9" i="1"/>
  <c r="M9" i="1" s="1"/>
  <c r="L13" i="1"/>
  <c r="M13" i="1" s="1"/>
  <c r="L26" i="1"/>
  <c r="M26" i="1" s="1"/>
  <c r="D24" i="36"/>
  <c r="J24" i="36" s="1"/>
  <c r="D43" i="36"/>
  <c r="J43" i="36" s="1"/>
  <c r="D12" i="36"/>
  <c r="J12" i="36" s="1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D50" i="36"/>
  <c r="J50" i="36" s="1"/>
  <c r="D13" i="36"/>
  <c r="J13" i="36" s="1"/>
  <c r="D35" i="36"/>
  <c r="J35" i="36" s="1"/>
  <c r="D30" i="36"/>
  <c r="I24" i="1"/>
  <c r="J24" i="1" s="1"/>
  <c r="L34" i="1"/>
  <c r="M34" i="1" s="1"/>
  <c r="I25" i="1"/>
  <c r="J25" i="1" s="1"/>
  <c r="I51" i="1"/>
  <c r="J51" i="1" s="1"/>
  <c r="D53" i="36"/>
  <c r="J53" i="36" s="1"/>
  <c r="D49" i="36"/>
  <c r="J49" i="36" s="1"/>
  <c r="D52" i="36"/>
  <c r="J52" i="36" s="1"/>
  <c r="D45" i="36"/>
  <c r="J45" i="36" s="1"/>
  <c r="D41" i="36"/>
  <c r="J41" i="36" s="1"/>
  <c r="D54" i="36"/>
  <c r="D42" i="36"/>
  <c r="D36" i="36"/>
  <c r="J36" i="36" s="1"/>
  <c r="D32" i="36"/>
  <c r="J32" i="36" s="1"/>
  <c r="D40" i="36"/>
  <c r="J40" i="36" s="1"/>
  <c r="D31" i="36"/>
  <c r="J31" i="36" s="1"/>
  <c r="D27" i="36"/>
  <c r="J27" i="36" s="1"/>
  <c r="D23" i="36"/>
  <c r="J23" i="36" s="1"/>
  <c r="D19" i="36"/>
  <c r="J19" i="36" s="1"/>
  <c r="D44" i="36"/>
  <c r="J44" i="36" s="1"/>
  <c r="D28" i="36"/>
  <c r="J28" i="36" s="1"/>
  <c r="D20" i="36"/>
  <c r="J20" i="36" s="1"/>
  <c r="D14" i="36"/>
  <c r="D10" i="36"/>
  <c r="D37" i="36"/>
  <c r="J37" i="36" s="1"/>
  <c r="D18" i="36"/>
  <c r="J18" i="36" s="1"/>
  <c r="D9" i="36"/>
  <c r="D15" i="36"/>
  <c r="J15" i="36" s="1"/>
  <c r="D22" i="36"/>
  <c r="J22" i="36" s="1"/>
  <c r="F7" i="36"/>
  <c r="F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I54" i="1"/>
  <c r="J54" i="1" s="1"/>
  <c r="I46" i="1"/>
  <c r="J46" i="1" s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L24" i="1"/>
  <c r="M24" i="1" s="1"/>
  <c r="L20" i="1"/>
  <c r="M20" i="1" s="1"/>
  <c r="L16" i="1"/>
  <c r="M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L49" i="1"/>
  <c r="M49" i="1" s="1"/>
  <c r="L47" i="1"/>
  <c r="M47" i="1" s="1"/>
  <c r="L45" i="1"/>
  <c r="M45" i="1" s="1"/>
  <c r="L43" i="1"/>
  <c r="M43" i="1" s="1"/>
  <c r="L41" i="1"/>
  <c r="M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L42" i="1"/>
  <c r="M42" i="1" s="1"/>
  <c r="N10" i="1"/>
  <c r="R56" i="44"/>
  <c r="F27" i="36"/>
  <c r="F22" i="36"/>
  <c r="F43" i="36"/>
  <c r="F54" i="36"/>
  <c r="F28" i="36"/>
  <c r="F51" i="36"/>
  <c r="F35" i="36"/>
  <c r="F19" i="36"/>
  <c r="F38" i="36"/>
  <c r="F10" i="36"/>
  <c r="F40" i="36"/>
  <c r="F55" i="36"/>
  <c r="F47" i="36"/>
  <c r="F39" i="36"/>
  <c r="F31" i="36"/>
  <c r="F23" i="36"/>
  <c r="F15" i="36"/>
  <c r="F48" i="36"/>
  <c r="F50" i="36"/>
  <c r="F46" i="36"/>
  <c r="F30" i="36"/>
  <c r="F14" i="36"/>
  <c r="F44" i="36"/>
  <c r="F13" i="36"/>
  <c r="F11" i="36"/>
  <c r="F57" i="36"/>
  <c r="F53" i="36"/>
  <c r="F49" i="36"/>
  <c r="F45" i="36"/>
  <c r="F41" i="36"/>
  <c r="F37" i="36"/>
  <c r="F33" i="36"/>
  <c r="F29" i="36"/>
  <c r="F25" i="36"/>
  <c r="F21" i="36"/>
  <c r="F17" i="36"/>
  <c r="F56" i="36"/>
  <c r="F52" i="36"/>
  <c r="F42" i="36"/>
  <c r="F34" i="36"/>
  <c r="F26" i="36"/>
  <c r="F18" i="36"/>
  <c r="F12" i="36"/>
  <c r="F8" i="36"/>
  <c r="F36" i="36"/>
  <c r="F20" i="36"/>
  <c r="F9" i="36"/>
  <c r="F24" i="36"/>
  <c r="F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12" i="1"/>
  <c r="J12" i="1" s="1"/>
  <c r="I21" i="1"/>
  <c r="J21" i="1" s="1"/>
  <c r="I29" i="1"/>
  <c r="J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J55" i="36"/>
  <c r="J34" i="36"/>
  <c r="J47" i="36"/>
  <c r="J10" i="36"/>
  <c r="J26" i="36"/>
  <c r="J42" i="36"/>
  <c r="J7" i="36"/>
  <c r="J39" i="36"/>
  <c r="AB5" i="1"/>
  <c r="J57" i="36"/>
  <c r="J33" i="36"/>
  <c r="J29" i="36"/>
  <c r="J25" i="36"/>
  <c r="J21" i="36"/>
  <c r="J17" i="36"/>
  <c r="J56" i="36"/>
  <c r="J48" i="36"/>
  <c r="J16" i="36"/>
  <c r="J8" i="36"/>
  <c r="K5" i="36"/>
  <c r="L5" i="36"/>
  <c r="J14" i="36"/>
  <c r="J30" i="36"/>
  <c r="J38" i="36"/>
  <c r="J46" i="36"/>
  <c r="J54" i="36"/>
  <c r="J11" i="36"/>
  <c r="J51" i="36"/>
  <c r="E58" i="1"/>
  <c r="F58" i="1"/>
  <c r="G7" i="1" s="1"/>
  <c r="N30" i="1" l="1"/>
  <c r="N13" i="1"/>
  <c r="N50" i="1"/>
  <c r="N24" i="1"/>
  <c r="E57" i="51"/>
  <c r="N9" i="1"/>
  <c r="N41" i="1"/>
  <c r="N39" i="1"/>
  <c r="N29" i="1"/>
  <c r="N28" i="1"/>
  <c r="N20" i="1"/>
  <c r="N25" i="1"/>
  <c r="N51" i="1"/>
  <c r="N40" i="1"/>
  <c r="N16" i="1"/>
  <c r="N53" i="1"/>
  <c r="N38" i="1"/>
  <c r="N17" i="1"/>
  <c r="N12" i="1"/>
  <c r="N22" i="1"/>
  <c r="N11" i="1"/>
  <c r="N33" i="1"/>
  <c r="N34" i="1"/>
  <c r="N23" i="1"/>
  <c r="N56" i="1"/>
  <c r="N46" i="1"/>
  <c r="N48" i="1"/>
  <c r="D58" i="36"/>
  <c r="J9" i="36"/>
  <c r="J58" i="36" s="1"/>
  <c r="N8" i="1"/>
  <c r="N45" i="1"/>
  <c r="N14" i="1"/>
  <c r="N42" i="1"/>
  <c r="N31" i="1"/>
  <c r="N44" i="1"/>
  <c r="N18" i="1"/>
  <c r="G50" i="1"/>
  <c r="AB50" i="1" s="1"/>
  <c r="G48" i="1"/>
  <c r="AB48" i="1" s="1"/>
  <c r="G39" i="1"/>
  <c r="AB39" i="1" s="1"/>
  <c r="G33" i="1"/>
  <c r="AB33" i="1" s="1"/>
  <c r="G31" i="1"/>
  <c r="AB31" i="1" s="1"/>
  <c r="G27" i="1"/>
  <c r="AB27" i="1" s="1"/>
  <c r="G43" i="1"/>
  <c r="AB43" i="1" s="1"/>
  <c r="N32" i="1"/>
  <c r="N55" i="1"/>
  <c r="N43" i="1"/>
  <c r="N35" i="1"/>
  <c r="N27" i="1"/>
  <c r="N19" i="1"/>
  <c r="N36" i="1"/>
  <c r="G25" i="1"/>
  <c r="AB25" i="1" s="1"/>
  <c r="G17" i="1"/>
  <c r="AB17" i="1" s="1"/>
  <c r="G15" i="1"/>
  <c r="AB15" i="1" s="1"/>
  <c r="G10" i="1"/>
  <c r="AB10" i="1" s="1"/>
  <c r="G8" i="1"/>
  <c r="AB8" i="1" s="1"/>
  <c r="G51" i="1"/>
  <c r="AB51" i="1" s="1"/>
  <c r="G49" i="1"/>
  <c r="AB49" i="1" s="1"/>
  <c r="G45" i="1"/>
  <c r="AB45" i="1" s="1"/>
  <c r="G40" i="1"/>
  <c r="AB40" i="1" s="1"/>
  <c r="G34" i="1"/>
  <c r="AB34" i="1" s="1"/>
  <c r="G32" i="1"/>
  <c r="AB32" i="1" s="1"/>
  <c r="G28" i="1"/>
  <c r="AB28" i="1" s="1"/>
  <c r="G26" i="1"/>
  <c r="AB26" i="1" s="1"/>
  <c r="G18" i="1"/>
  <c r="AB18" i="1" s="1"/>
  <c r="G16" i="1"/>
  <c r="AB16" i="1" s="1"/>
  <c r="G13" i="1"/>
  <c r="AB13" i="1" s="1"/>
  <c r="G9" i="1"/>
  <c r="AB9" i="1" s="1"/>
  <c r="N54" i="1"/>
  <c r="N47" i="1"/>
  <c r="M58" i="1"/>
  <c r="N52" i="1"/>
  <c r="N57" i="1"/>
  <c r="N49" i="1"/>
  <c r="N37" i="1"/>
  <c r="N21" i="1"/>
  <c r="J7" i="1"/>
  <c r="I58" i="1"/>
  <c r="AD5" i="1"/>
  <c r="AC5" i="1"/>
  <c r="K13" i="36"/>
  <c r="K50" i="36"/>
  <c r="K9" i="36"/>
  <c r="K8" i="36"/>
  <c r="K12" i="36"/>
  <c r="K20" i="36"/>
  <c r="K54" i="36"/>
  <c r="K56" i="36"/>
  <c r="K15" i="36"/>
  <c r="K17" i="36"/>
  <c r="K19" i="36"/>
  <c r="K21" i="36"/>
  <c r="K23" i="36"/>
  <c r="K25" i="36"/>
  <c r="K27" i="36"/>
  <c r="K29" i="36"/>
  <c r="K31" i="36"/>
  <c r="K33" i="36"/>
  <c r="K35" i="36"/>
  <c r="K37" i="36"/>
  <c r="K39" i="36"/>
  <c r="K41" i="36"/>
  <c r="K43" i="36"/>
  <c r="K45" i="36"/>
  <c r="K47" i="36"/>
  <c r="K49" i="36"/>
  <c r="K51" i="36"/>
  <c r="K53" i="36"/>
  <c r="K55" i="36"/>
  <c r="K57" i="36"/>
  <c r="K28" i="36"/>
  <c r="K36" i="36"/>
  <c r="K44" i="36"/>
  <c r="K18" i="36"/>
  <c r="K22" i="36"/>
  <c r="K26" i="36"/>
  <c r="K30" i="36"/>
  <c r="K34" i="36"/>
  <c r="K38" i="36"/>
  <c r="K42" i="36"/>
  <c r="K46" i="36"/>
  <c r="K48" i="36"/>
  <c r="K52" i="36"/>
  <c r="K7" i="36"/>
  <c r="K10" i="36"/>
  <c r="K32" i="36"/>
  <c r="K16" i="36"/>
  <c r="K24" i="36"/>
  <c r="K40" i="36"/>
  <c r="K11" i="36"/>
  <c r="K14" i="36"/>
  <c r="AB7" i="1"/>
  <c r="G57" i="1"/>
  <c r="AB57" i="1" s="1"/>
  <c r="G37" i="1"/>
  <c r="AB37" i="1" s="1"/>
  <c r="G53" i="1"/>
  <c r="AB53" i="1" s="1"/>
  <c r="G21" i="1"/>
  <c r="AB21" i="1" s="1"/>
  <c r="G38" i="1"/>
  <c r="AB38" i="1" s="1"/>
  <c r="G54" i="1"/>
  <c r="AB54" i="1" s="1"/>
  <c r="G42" i="1"/>
  <c r="AB42" i="1" s="1"/>
  <c r="G23" i="1"/>
  <c r="AB23" i="1" s="1"/>
  <c r="G55" i="1"/>
  <c r="AB55" i="1" s="1"/>
  <c r="G46" i="1"/>
  <c r="AB46" i="1" s="1"/>
  <c r="G36" i="1"/>
  <c r="AB36" i="1" s="1"/>
  <c r="G29" i="1"/>
  <c r="AB29" i="1" s="1"/>
  <c r="G14" i="1"/>
  <c r="AB14" i="1" s="1"/>
  <c r="G44" i="1"/>
  <c r="AB44" i="1" s="1"/>
  <c r="G30" i="1"/>
  <c r="AB30" i="1" s="1"/>
  <c r="G20" i="1"/>
  <c r="AB20" i="1" s="1"/>
  <c r="G41" i="1"/>
  <c r="AB41" i="1" s="1"/>
  <c r="G19" i="1"/>
  <c r="AB19" i="1" s="1"/>
  <c r="G22" i="1"/>
  <c r="AB22" i="1" s="1"/>
  <c r="G12" i="1"/>
  <c r="AB12" i="1" s="1"/>
  <c r="G56" i="1"/>
  <c r="AB56" i="1" s="1"/>
  <c r="G52" i="1"/>
  <c r="AB52" i="1" s="1"/>
  <c r="G47" i="1"/>
  <c r="AB47" i="1" s="1"/>
  <c r="G11" i="1"/>
  <c r="AB11" i="1" s="1"/>
  <c r="G24" i="1"/>
  <c r="AB24" i="1" s="1"/>
  <c r="G35" i="1"/>
  <c r="AB35" i="1" s="1"/>
  <c r="X18" i="1" l="1"/>
  <c r="X30" i="1"/>
  <c r="X42" i="1"/>
  <c r="X54" i="1"/>
  <c r="U15" i="1"/>
  <c r="U27" i="1"/>
  <c r="U39" i="1"/>
  <c r="U51" i="1"/>
  <c r="X33" i="1"/>
  <c r="Y33" i="1" s="1"/>
  <c r="X57" i="1"/>
  <c r="U30" i="1"/>
  <c r="U54" i="1"/>
  <c r="X10" i="1"/>
  <c r="X46" i="1"/>
  <c r="U19" i="1"/>
  <c r="U55" i="1"/>
  <c r="X36" i="1"/>
  <c r="U33" i="1"/>
  <c r="U48" i="1"/>
  <c r="X16" i="1"/>
  <c r="X52" i="1"/>
  <c r="U50" i="1"/>
  <c r="X19" i="1"/>
  <c r="X31" i="1"/>
  <c r="X43" i="1"/>
  <c r="X55" i="1"/>
  <c r="U16" i="1"/>
  <c r="U28" i="1"/>
  <c r="U40" i="1"/>
  <c r="U52" i="1"/>
  <c r="X22" i="1"/>
  <c r="X7" i="1"/>
  <c r="U43" i="1"/>
  <c r="X23" i="1"/>
  <c r="X35" i="1"/>
  <c r="X47" i="1"/>
  <c r="U8" i="1"/>
  <c r="U20" i="1"/>
  <c r="U32" i="1"/>
  <c r="U44" i="1"/>
  <c r="U56" i="1"/>
  <c r="X12" i="1"/>
  <c r="X48" i="1"/>
  <c r="U45" i="1"/>
  <c r="X26" i="1"/>
  <c r="Y26" i="1" s="1"/>
  <c r="U23" i="1"/>
  <c r="X15" i="1"/>
  <c r="Y15" i="1" s="1"/>
  <c r="U12" i="1"/>
  <c r="U49" i="1"/>
  <c r="X41" i="1"/>
  <c r="U14" i="1"/>
  <c r="X8" i="1"/>
  <c r="X20" i="1"/>
  <c r="X32" i="1"/>
  <c r="X44" i="1"/>
  <c r="X56" i="1"/>
  <c r="U17" i="1"/>
  <c r="U29" i="1"/>
  <c r="U41" i="1"/>
  <c r="U53" i="1"/>
  <c r="X9" i="1"/>
  <c r="X21" i="1"/>
  <c r="X45" i="1"/>
  <c r="U18" i="1"/>
  <c r="U42" i="1"/>
  <c r="X34" i="1"/>
  <c r="U31" i="1"/>
  <c r="X24" i="1"/>
  <c r="U21" i="1"/>
  <c r="X38" i="1"/>
  <c r="X40" i="1"/>
  <c r="U25" i="1"/>
  <c r="X17" i="1"/>
  <c r="U26" i="1"/>
  <c r="X11" i="1"/>
  <c r="U57" i="1"/>
  <c r="U11" i="1"/>
  <c r="U47" i="1"/>
  <c r="X51" i="1"/>
  <c r="U36" i="1"/>
  <c r="U9" i="1"/>
  <c r="X50" i="1"/>
  <c r="X28" i="1"/>
  <c r="U13" i="1"/>
  <c r="X13" i="1"/>
  <c r="X25" i="1"/>
  <c r="X37" i="1"/>
  <c r="X49" i="1"/>
  <c r="U10" i="1"/>
  <c r="U22" i="1"/>
  <c r="U34" i="1"/>
  <c r="U46" i="1"/>
  <c r="U7" i="1"/>
  <c r="X39" i="1"/>
  <c r="Y39" i="1" s="1"/>
  <c r="U24" i="1"/>
  <c r="U38" i="1"/>
  <c r="X14" i="1"/>
  <c r="U35" i="1"/>
  <c r="X27" i="1"/>
  <c r="U37" i="1"/>
  <c r="X29" i="1"/>
  <c r="X53" i="1"/>
  <c r="AC36" i="1"/>
  <c r="N7" i="1"/>
  <c r="N58" i="1" s="1"/>
  <c r="J58" i="1"/>
  <c r="AC54" i="1"/>
  <c r="AC16" i="1"/>
  <c r="AC53" i="1"/>
  <c r="AC24" i="1"/>
  <c r="AC12" i="1"/>
  <c r="AC35" i="1"/>
  <c r="AC48" i="1"/>
  <c r="AC9" i="1"/>
  <c r="AC26" i="1"/>
  <c r="AC15" i="1"/>
  <c r="AC46" i="1"/>
  <c r="AC47" i="1"/>
  <c r="AC21" i="1"/>
  <c r="AC11" i="1"/>
  <c r="AC38" i="1"/>
  <c r="AC34" i="1"/>
  <c r="AC10" i="1"/>
  <c r="AC40" i="1"/>
  <c r="AC22" i="1"/>
  <c r="AC50" i="1"/>
  <c r="AC43" i="1"/>
  <c r="AC8" i="1"/>
  <c r="AC25" i="1"/>
  <c r="AC17" i="1"/>
  <c r="AC51" i="1"/>
  <c r="AC39" i="1"/>
  <c r="AC27" i="1"/>
  <c r="AC30" i="1"/>
  <c r="AC45" i="1"/>
  <c r="AC42" i="1"/>
  <c r="AC19" i="1"/>
  <c r="AC32" i="1"/>
  <c r="AC41" i="1"/>
  <c r="AC20" i="1"/>
  <c r="AC52" i="1"/>
  <c r="AC37" i="1"/>
  <c r="AC44" i="1"/>
  <c r="AC56" i="1"/>
  <c r="AC29" i="1"/>
  <c r="AC55" i="1"/>
  <c r="AC18" i="1"/>
  <c r="AC14" i="1"/>
  <c r="AC49" i="1"/>
  <c r="AC57" i="1"/>
  <c r="AC28" i="1"/>
  <c r="AC23" i="1"/>
  <c r="AC31" i="1"/>
  <c r="AC13" i="1"/>
  <c r="AC33" i="1"/>
  <c r="K58" i="36"/>
  <c r="G58" i="1"/>
  <c r="AB58" i="1"/>
  <c r="Y32" i="1" l="1"/>
  <c r="Y35" i="1"/>
  <c r="Y57" i="1"/>
  <c r="Y56" i="1"/>
  <c r="Y40" i="1"/>
  <c r="Y44" i="1"/>
  <c r="Y19" i="1"/>
  <c r="Y20" i="1"/>
  <c r="Y52" i="1"/>
  <c r="Y16" i="1"/>
  <c r="Y28" i="1"/>
  <c r="Y47" i="1"/>
  <c r="Y31" i="1"/>
  <c r="Y51" i="1"/>
  <c r="Y48" i="1"/>
  <c r="Y14" i="1"/>
  <c r="Y50" i="1"/>
  <c r="Y38" i="1"/>
  <c r="Y27" i="1"/>
  <c r="Y37" i="1"/>
  <c r="Y10" i="1"/>
  <c r="Y18" i="1"/>
  <c r="U58" i="1"/>
  <c r="Y24" i="1"/>
  <c r="X58" i="1"/>
  <c r="Y7" i="1"/>
  <c r="Y22" i="1"/>
  <c r="Y53" i="1"/>
  <c r="Y34" i="1"/>
  <c r="Y12" i="1"/>
  <c r="Y23" i="1"/>
  <c r="Y29" i="1"/>
  <c r="Y36" i="1"/>
  <c r="Y49" i="1"/>
  <c r="Y8" i="1"/>
  <c r="Y54" i="1"/>
  <c r="Y11" i="1"/>
  <c r="Y45" i="1"/>
  <c r="Y42" i="1"/>
  <c r="Y25" i="1"/>
  <c r="Y21" i="1"/>
  <c r="Y41" i="1"/>
  <c r="Y55" i="1"/>
  <c r="Y46" i="1"/>
  <c r="Y30" i="1"/>
  <c r="Y13" i="1"/>
  <c r="Y17" i="1"/>
  <c r="Y9" i="1"/>
  <c r="Y43" i="1"/>
  <c r="AC7" i="1"/>
  <c r="AC58" i="1" s="1"/>
  <c r="Y58" i="1" l="1"/>
  <c r="Z36" i="1" s="1"/>
  <c r="AD36" i="1" s="1"/>
  <c r="AE36" i="1" s="1"/>
  <c r="Z11" i="1" l="1"/>
  <c r="AD11" i="1" s="1"/>
  <c r="AE11" i="1" s="1"/>
  <c r="Z49" i="1"/>
  <c r="AD49" i="1" s="1"/>
  <c r="AE49" i="1" s="1"/>
  <c r="Z21" i="1"/>
  <c r="AD21" i="1" s="1"/>
  <c r="AE21" i="1" s="1"/>
  <c r="Z23" i="1"/>
  <c r="AD23" i="1" s="1"/>
  <c r="AE23" i="1" s="1"/>
  <c r="Z25" i="1"/>
  <c r="AD25" i="1" s="1"/>
  <c r="AE25" i="1" s="1"/>
  <c r="Z24" i="1"/>
  <c r="AD24" i="1" s="1"/>
  <c r="AE24" i="1" s="1"/>
  <c r="Z9" i="1"/>
  <c r="AD9" i="1" s="1"/>
  <c r="AE9" i="1" s="1"/>
  <c r="Z53" i="1"/>
  <c r="AD53" i="1" s="1"/>
  <c r="AE53" i="1" s="1"/>
  <c r="Z41" i="1"/>
  <c r="AD41" i="1" s="1"/>
  <c r="AE41" i="1" s="1"/>
  <c r="Z8" i="1"/>
  <c r="AD8" i="1" s="1"/>
  <c r="AE8" i="1" s="1"/>
  <c r="Z29" i="1"/>
  <c r="AD29" i="1" s="1"/>
  <c r="AE29" i="1" s="1"/>
  <c r="Z43" i="1"/>
  <c r="AD43" i="1" s="1"/>
  <c r="AE43" i="1" s="1"/>
  <c r="Z34" i="1"/>
  <c r="AD34" i="1" s="1"/>
  <c r="AE34" i="1" s="1"/>
  <c r="Z54" i="1"/>
  <c r="AD54" i="1" s="1"/>
  <c r="AE54" i="1" s="1"/>
  <c r="Z46" i="1"/>
  <c r="AD46" i="1" s="1"/>
  <c r="AE46" i="1" s="1"/>
  <c r="Z12" i="1"/>
  <c r="AD12" i="1" s="1"/>
  <c r="AE12" i="1" s="1"/>
  <c r="Z30" i="1"/>
  <c r="AD30" i="1" s="1"/>
  <c r="AE30" i="1" s="1"/>
  <c r="Z45" i="1"/>
  <c r="AD45" i="1" s="1"/>
  <c r="AE45" i="1" s="1"/>
  <c r="Z7" i="1"/>
  <c r="Z13" i="1"/>
  <c r="AD13" i="1" s="1"/>
  <c r="AE13" i="1" s="1"/>
  <c r="Z42" i="1"/>
  <c r="AD42" i="1" s="1"/>
  <c r="AE42" i="1" s="1"/>
  <c r="Z47" i="1"/>
  <c r="AD47" i="1" s="1"/>
  <c r="AE47" i="1" s="1"/>
  <c r="Z31" i="1"/>
  <c r="AD31" i="1" s="1"/>
  <c r="AE31" i="1" s="1"/>
  <c r="Z40" i="1"/>
  <c r="AD40" i="1" s="1"/>
  <c r="AE40" i="1" s="1"/>
  <c r="Z15" i="1"/>
  <c r="AD15" i="1" s="1"/>
  <c r="AE15" i="1" s="1"/>
  <c r="Z38" i="1"/>
  <c r="AD38" i="1" s="1"/>
  <c r="AE38" i="1" s="1"/>
  <c r="Z27" i="1"/>
  <c r="AD27" i="1" s="1"/>
  <c r="AE27" i="1" s="1"/>
  <c r="Z35" i="1"/>
  <c r="AD35" i="1" s="1"/>
  <c r="AE35" i="1" s="1"/>
  <c r="Z50" i="1"/>
  <c r="AD50" i="1" s="1"/>
  <c r="AE50" i="1" s="1"/>
  <c r="Z52" i="1"/>
  <c r="AD52" i="1" s="1"/>
  <c r="AE52" i="1" s="1"/>
  <c r="Z39" i="1"/>
  <c r="AD39" i="1" s="1"/>
  <c r="AE39" i="1" s="1"/>
  <c r="Z28" i="1"/>
  <c r="AD28" i="1" s="1"/>
  <c r="AE28" i="1" s="1"/>
  <c r="Z16" i="1"/>
  <c r="AD16" i="1" s="1"/>
  <c r="AE16" i="1" s="1"/>
  <c r="Z37" i="1"/>
  <c r="AD37" i="1" s="1"/>
  <c r="AE37" i="1" s="1"/>
  <c r="Z33" i="1"/>
  <c r="AD33" i="1" s="1"/>
  <c r="AE33" i="1" s="1"/>
  <c r="Z26" i="1"/>
  <c r="AD26" i="1" s="1"/>
  <c r="AE26" i="1" s="1"/>
  <c r="Z10" i="1"/>
  <c r="AD10" i="1" s="1"/>
  <c r="AE10" i="1" s="1"/>
  <c r="Z32" i="1"/>
  <c r="AD32" i="1" s="1"/>
  <c r="AE32" i="1" s="1"/>
  <c r="Z19" i="1"/>
  <c r="AD19" i="1" s="1"/>
  <c r="AE19" i="1" s="1"/>
  <c r="Z18" i="1"/>
  <c r="AD18" i="1" s="1"/>
  <c r="AE18" i="1" s="1"/>
  <c r="Z57" i="1"/>
  <c r="AD57" i="1" s="1"/>
  <c r="AE57" i="1" s="1"/>
  <c r="Z14" i="1"/>
  <c r="AD14" i="1" s="1"/>
  <c r="AE14" i="1" s="1"/>
  <c r="Z56" i="1"/>
  <c r="AD56" i="1" s="1"/>
  <c r="AE56" i="1" s="1"/>
  <c r="Z51" i="1"/>
  <c r="AD51" i="1" s="1"/>
  <c r="AE51" i="1" s="1"/>
  <c r="Z44" i="1"/>
  <c r="AD44" i="1" s="1"/>
  <c r="AE44" i="1" s="1"/>
  <c r="Z20" i="1"/>
  <c r="AD20" i="1" s="1"/>
  <c r="AE20" i="1" s="1"/>
  <c r="Z48" i="1"/>
  <c r="AD48" i="1" s="1"/>
  <c r="AE48" i="1" s="1"/>
  <c r="Z22" i="1"/>
  <c r="AD22" i="1" s="1"/>
  <c r="AE22" i="1" s="1"/>
  <c r="Z55" i="1"/>
  <c r="AD55" i="1" s="1"/>
  <c r="AE55" i="1" s="1"/>
  <c r="Z17" i="1"/>
  <c r="AD17" i="1" s="1"/>
  <c r="AE17" i="1" s="1"/>
  <c r="AD7" i="1" l="1"/>
  <c r="Z58" i="1"/>
  <c r="AD58" i="1" l="1"/>
  <c r="AE7" i="1"/>
  <c r="AE58" i="1" l="1"/>
  <c r="AF7" i="1" l="1"/>
  <c r="AF31" i="1"/>
  <c r="AF57" i="1"/>
  <c r="AF24" i="1"/>
  <c r="AF27" i="1"/>
  <c r="AF32" i="1"/>
  <c r="AF40" i="1"/>
  <c r="AF28" i="1"/>
  <c r="AF35" i="1"/>
  <c r="AF8" i="1"/>
  <c r="AF52" i="1"/>
  <c r="AF48" i="1"/>
  <c r="AF56" i="1"/>
  <c r="AF19" i="1"/>
  <c r="AF46" i="1"/>
  <c r="AF53" i="1"/>
  <c r="AF39" i="1"/>
  <c r="AF13" i="1"/>
  <c r="AF43" i="1"/>
  <c r="AF10" i="1"/>
  <c r="AF38" i="1"/>
  <c r="AF36" i="1"/>
  <c r="AF41" i="1"/>
  <c r="AF45" i="1"/>
  <c r="AF23" i="1"/>
  <c r="AF15" i="1"/>
  <c r="AF55" i="1"/>
  <c r="AF18" i="1"/>
  <c r="AF37" i="1"/>
  <c r="AF34" i="1"/>
  <c r="AF49" i="1"/>
  <c r="AF51" i="1"/>
  <c r="AF26" i="1"/>
  <c r="AF29" i="1"/>
  <c r="AF16" i="1"/>
  <c r="AF14" i="1"/>
  <c r="AF11" i="1"/>
  <c r="AF30" i="1"/>
  <c r="AF17" i="1"/>
  <c r="AF20" i="1"/>
  <c r="AF12" i="1"/>
  <c r="AF25" i="1"/>
  <c r="AF22" i="1"/>
  <c r="AF54" i="1"/>
  <c r="AF44" i="1"/>
  <c r="AF47" i="1"/>
  <c r="AF33" i="1"/>
  <c r="AF50" i="1"/>
  <c r="AF42" i="1"/>
  <c r="AF21" i="1"/>
  <c r="AF9" i="1"/>
  <c r="F50" i="52" l="1"/>
  <c r="G50" i="51" s="1"/>
  <c r="G50" i="52"/>
  <c r="H50" i="51" s="1"/>
  <c r="H50" i="52"/>
  <c r="I50" i="51" s="1"/>
  <c r="D50" i="52"/>
  <c r="D50" i="51" s="1"/>
  <c r="E50" i="52"/>
  <c r="F50" i="51" s="1"/>
  <c r="C50" i="52"/>
  <c r="C50" i="51" s="1"/>
  <c r="G45" i="52"/>
  <c r="H45" i="51" s="1"/>
  <c r="E45" i="52"/>
  <c r="F45" i="51" s="1"/>
  <c r="F45" i="52"/>
  <c r="G45" i="51" s="1"/>
  <c r="H45" i="52"/>
  <c r="I45" i="51" s="1"/>
  <c r="D45" i="52"/>
  <c r="D45" i="51" s="1"/>
  <c r="C45" i="52"/>
  <c r="C45" i="51" s="1"/>
  <c r="D51" i="52"/>
  <c r="D51" i="51" s="1"/>
  <c r="H51" i="52"/>
  <c r="I51" i="51" s="1"/>
  <c r="G51" i="52"/>
  <c r="H51" i="51" s="1"/>
  <c r="E51" i="52"/>
  <c r="F51" i="51" s="1"/>
  <c r="F51" i="52"/>
  <c r="G51" i="51" s="1"/>
  <c r="C51" i="52"/>
  <c r="C51" i="51" s="1"/>
  <c r="G52" i="52"/>
  <c r="H52" i="51" s="1"/>
  <c r="H52" i="52"/>
  <c r="I52" i="51" s="1"/>
  <c r="D52" i="52"/>
  <c r="D52" i="51" s="1"/>
  <c r="E52" i="52"/>
  <c r="F52" i="51" s="1"/>
  <c r="F52" i="52"/>
  <c r="G52" i="51" s="1"/>
  <c r="C52" i="52"/>
  <c r="C52" i="51" s="1"/>
  <c r="H46" i="52"/>
  <c r="I46" i="51" s="1"/>
  <c r="F46" i="52"/>
  <c r="G46" i="51" s="1"/>
  <c r="E46" i="52"/>
  <c r="F46" i="51" s="1"/>
  <c r="D46" i="52"/>
  <c r="D46" i="51" s="1"/>
  <c r="G46" i="52"/>
  <c r="H46" i="51" s="1"/>
  <c r="C46" i="52"/>
  <c r="C46" i="51" s="1"/>
  <c r="G18" i="52"/>
  <c r="H18" i="51" s="1"/>
  <c r="F18" i="52"/>
  <c r="G18" i="51" s="1"/>
  <c r="D18" i="52"/>
  <c r="D18" i="51" s="1"/>
  <c r="H18" i="52"/>
  <c r="I18" i="51" s="1"/>
  <c r="E18" i="52"/>
  <c r="F18" i="51" s="1"/>
  <c r="C18" i="52"/>
  <c r="C18" i="51" s="1"/>
  <c r="G36" i="52"/>
  <c r="H36" i="51" s="1"/>
  <c r="F36" i="52"/>
  <c r="G36" i="51" s="1"/>
  <c r="H36" i="52"/>
  <c r="I36" i="51" s="1"/>
  <c r="D36" i="52"/>
  <c r="D36" i="51" s="1"/>
  <c r="E36" i="52"/>
  <c r="F36" i="51" s="1"/>
  <c r="C36" i="52"/>
  <c r="C36" i="51" s="1"/>
  <c r="D17" i="52"/>
  <c r="D17" i="51" s="1"/>
  <c r="F17" i="52"/>
  <c r="G17" i="51" s="1"/>
  <c r="G17" i="52"/>
  <c r="H17" i="51" s="1"/>
  <c r="H17" i="52"/>
  <c r="I17" i="51" s="1"/>
  <c r="E17" i="52"/>
  <c r="F17" i="51" s="1"/>
  <c r="C17" i="52"/>
  <c r="C17" i="51" s="1"/>
  <c r="G21" i="52"/>
  <c r="H21" i="51" s="1"/>
  <c r="F21" i="52"/>
  <c r="G21" i="51" s="1"/>
  <c r="H21" i="52"/>
  <c r="I21" i="51" s="1"/>
  <c r="E21" i="52"/>
  <c r="F21" i="51" s="1"/>
  <c r="D21" i="52"/>
  <c r="D21" i="51" s="1"/>
  <c r="C21" i="52"/>
  <c r="C21" i="51" s="1"/>
  <c r="H24" i="52"/>
  <c r="I24" i="51" s="1"/>
  <c r="G24" i="52"/>
  <c r="H24" i="51" s="1"/>
  <c r="E24" i="52"/>
  <c r="F24" i="51" s="1"/>
  <c r="D24" i="52"/>
  <c r="D24" i="51" s="1"/>
  <c r="F24" i="52"/>
  <c r="G24" i="51" s="1"/>
  <c r="C24" i="52"/>
  <c r="C24" i="51" s="1"/>
  <c r="D11" i="52"/>
  <c r="D11" i="51" s="1"/>
  <c r="H11" i="52"/>
  <c r="I11" i="51" s="1"/>
  <c r="E11" i="52"/>
  <c r="F11" i="51" s="1"/>
  <c r="F11" i="52"/>
  <c r="G11" i="51" s="1"/>
  <c r="G11" i="52"/>
  <c r="H11" i="51" s="1"/>
  <c r="C11" i="52"/>
  <c r="C11" i="51" s="1"/>
  <c r="F29" i="52"/>
  <c r="G29" i="51" s="1"/>
  <c r="E29" i="52"/>
  <c r="F29" i="51" s="1"/>
  <c r="H29" i="52"/>
  <c r="I29" i="51" s="1"/>
  <c r="G29" i="52"/>
  <c r="H29" i="51" s="1"/>
  <c r="D29" i="52"/>
  <c r="D29" i="51" s="1"/>
  <c r="C29" i="52"/>
  <c r="C29" i="51" s="1"/>
  <c r="G48" i="52"/>
  <c r="H48" i="51" s="1"/>
  <c r="E48" i="52"/>
  <c r="F48" i="51" s="1"/>
  <c r="H48" i="52"/>
  <c r="I48" i="51" s="1"/>
  <c r="F48" i="52"/>
  <c r="G48" i="51" s="1"/>
  <c r="D48" i="52"/>
  <c r="D48" i="51" s="1"/>
  <c r="C48" i="52"/>
  <c r="C48" i="51" s="1"/>
  <c r="G33" i="52"/>
  <c r="H33" i="51" s="1"/>
  <c r="F33" i="52"/>
  <c r="G33" i="51" s="1"/>
  <c r="E33" i="52"/>
  <c r="F33" i="51" s="1"/>
  <c r="H33" i="52"/>
  <c r="I33" i="51" s="1"/>
  <c r="D33" i="52"/>
  <c r="D33" i="51" s="1"/>
  <c r="C33" i="52"/>
  <c r="C33" i="51" s="1"/>
  <c r="E55" i="52"/>
  <c r="F55" i="51" s="1"/>
  <c r="F55" i="52"/>
  <c r="G55" i="51" s="1"/>
  <c r="G55" i="52"/>
  <c r="H55" i="51" s="1"/>
  <c r="H55" i="52"/>
  <c r="I55" i="51" s="1"/>
  <c r="D55" i="52"/>
  <c r="D55" i="51" s="1"/>
  <c r="C55" i="52"/>
  <c r="C55" i="51" s="1"/>
  <c r="F53" i="52"/>
  <c r="G53" i="51" s="1"/>
  <c r="E53" i="52"/>
  <c r="F53" i="51" s="1"/>
  <c r="G53" i="52"/>
  <c r="H53" i="51" s="1"/>
  <c r="D53" i="52"/>
  <c r="D53" i="51" s="1"/>
  <c r="H53" i="52"/>
  <c r="I53" i="51" s="1"/>
  <c r="C53" i="52"/>
  <c r="C53" i="51" s="1"/>
  <c r="H54" i="52"/>
  <c r="I54" i="51" s="1"/>
  <c r="E54" i="52"/>
  <c r="F54" i="51" s="1"/>
  <c r="G54" i="52"/>
  <c r="H54" i="51" s="1"/>
  <c r="F54" i="52"/>
  <c r="G54" i="51" s="1"/>
  <c r="D54" i="52"/>
  <c r="D54" i="51" s="1"/>
  <c r="C54" i="52"/>
  <c r="C54" i="51" s="1"/>
  <c r="D14" i="52"/>
  <c r="D14" i="51" s="1"/>
  <c r="F14" i="52"/>
  <c r="G14" i="51" s="1"/>
  <c r="H14" i="52"/>
  <c r="I14" i="51" s="1"/>
  <c r="G14" i="52"/>
  <c r="H14" i="51" s="1"/>
  <c r="E14" i="52"/>
  <c r="F14" i="51" s="1"/>
  <c r="C14" i="52"/>
  <c r="C14" i="51" s="1"/>
  <c r="H34" i="52"/>
  <c r="I34" i="51" s="1"/>
  <c r="F34" i="52"/>
  <c r="G34" i="51" s="1"/>
  <c r="D34" i="52"/>
  <c r="D34" i="51" s="1"/>
  <c r="E34" i="52"/>
  <c r="F34" i="51" s="1"/>
  <c r="G34" i="52"/>
  <c r="H34" i="51" s="1"/>
  <c r="C34" i="52"/>
  <c r="C34" i="51" s="1"/>
  <c r="D27" i="52"/>
  <c r="D27" i="51" s="1"/>
  <c r="H27" i="52"/>
  <c r="I27" i="51" s="1"/>
  <c r="E27" i="52"/>
  <c r="F27" i="51" s="1"/>
  <c r="G27" i="52"/>
  <c r="H27" i="51" s="1"/>
  <c r="F27" i="52"/>
  <c r="G27" i="51" s="1"/>
  <c r="C27" i="52"/>
  <c r="C27" i="51" s="1"/>
  <c r="G40" i="52"/>
  <c r="H40" i="51" s="1"/>
  <c r="F40" i="52"/>
  <c r="G40" i="51" s="1"/>
  <c r="D40" i="52"/>
  <c r="D40" i="51" s="1"/>
  <c r="E40" i="52"/>
  <c r="F40" i="51" s="1"/>
  <c r="H40" i="52"/>
  <c r="I40" i="51" s="1"/>
  <c r="C40" i="52"/>
  <c r="C40" i="51" s="1"/>
  <c r="D35" i="52"/>
  <c r="D35" i="51" s="1"/>
  <c r="G35" i="52"/>
  <c r="H35" i="51" s="1"/>
  <c r="H35" i="52"/>
  <c r="I35" i="51" s="1"/>
  <c r="E35" i="52"/>
  <c r="F35" i="51" s="1"/>
  <c r="F35" i="52"/>
  <c r="G35" i="51" s="1"/>
  <c r="C35" i="52"/>
  <c r="C35" i="51" s="1"/>
  <c r="H30" i="52"/>
  <c r="I30" i="51" s="1"/>
  <c r="F30" i="52"/>
  <c r="G30" i="51" s="1"/>
  <c r="E30" i="52"/>
  <c r="F30" i="51" s="1"/>
  <c r="G30" i="52"/>
  <c r="H30" i="51" s="1"/>
  <c r="D30" i="52"/>
  <c r="D30" i="51" s="1"/>
  <c r="C30" i="52"/>
  <c r="C30" i="51" s="1"/>
  <c r="F49" i="52"/>
  <c r="G49" i="51" s="1"/>
  <c r="E49" i="52"/>
  <c r="F49" i="51" s="1"/>
  <c r="G49" i="52"/>
  <c r="H49" i="51" s="1"/>
  <c r="H49" i="52"/>
  <c r="I49" i="51" s="1"/>
  <c r="D49" i="52"/>
  <c r="D49" i="51" s="1"/>
  <c r="C49" i="52"/>
  <c r="C49" i="51" s="1"/>
  <c r="D32" i="52"/>
  <c r="D32" i="51" s="1"/>
  <c r="E32" i="52"/>
  <c r="F32" i="51" s="1"/>
  <c r="F32" i="52"/>
  <c r="G32" i="51" s="1"/>
  <c r="G32" i="52"/>
  <c r="H32" i="51" s="1"/>
  <c r="H32" i="52"/>
  <c r="I32" i="51" s="1"/>
  <c r="C32" i="52"/>
  <c r="C32" i="51" s="1"/>
  <c r="E43" i="52"/>
  <c r="F43" i="51" s="1"/>
  <c r="F43" i="52"/>
  <c r="G43" i="51" s="1"/>
  <c r="H43" i="52"/>
  <c r="I43" i="51" s="1"/>
  <c r="G43" i="52"/>
  <c r="H43" i="51" s="1"/>
  <c r="D43" i="52"/>
  <c r="D43" i="51" s="1"/>
  <c r="C43" i="52"/>
  <c r="C43" i="51" s="1"/>
  <c r="E47" i="52"/>
  <c r="F47" i="51" s="1"/>
  <c r="H47" i="52"/>
  <c r="I47" i="51" s="1"/>
  <c r="G47" i="52"/>
  <c r="H47" i="51" s="1"/>
  <c r="F47" i="52"/>
  <c r="G47" i="51" s="1"/>
  <c r="D47" i="52"/>
  <c r="D47" i="51" s="1"/>
  <c r="C47" i="52"/>
  <c r="C47" i="51" s="1"/>
  <c r="F7" i="52"/>
  <c r="G7" i="51" s="1"/>
  <c r="G7" i="52"/>
  <c r="H7" i="51" s="1"/>
  <c r="H7" i="52"/>
  <c r="I7" i="51" s="1"/>
  <c r="D7" i="52"/>
  <c r="D7" i="51" s="1"/>
  <c r="E7" i="52"/>
  <c r="F7" i="51" s="1"/>
  <c r="C7" i="52"/>
  <c r="C7" i="51" s="1"/>
  <c r="F22" i="52"/>
  <c r="G22" i="51" s="1"/>
  <c r="D22" i="52"/>
  <c r="D22" i="51" s="1"/>
  <c r="H22" i="52"/>
  <c r="I22" i="51" s="1"/>
  <c r="G22" i="52"/>
  <c r="H22" i="51" s="1"/>
  <c r="E22" i="52"/>
  <c r="F22" i="51" s="1"/>
  <c r="C22" i="52"/>
  <c r="C22" i="51" s="1"/>
  <c r="D19" i="52"/>
  <c r="D19" i="51" s="1"/>
  <c r="E19" i="52"/>
  <c r="F19" i="51" s="1"/>
  <c r="F19" i="52"/>
  <c r="G19" i="51" s="1"/>
  <c r="G19" i="52"/>
  <c r="H19" i="51" s="1"/>
  <c r="H19" i="52"/>
  <c r="I19" i="51" s="1"/>
  <c r="C19" i="52"/>
  <c r="C19" i="51" s="1"/>
  <c r="F44" i="52"/>
  <c r="G44" i="51" s="1"/>
  <c r="E44" i="52"/>
  <c r="F44" i="51" s="1"/>
  <c r="G44" i="52"/>
  <c r="H44" i="51" s="1"/>
  <c r="D44" i="52"/>
  <c r="D44" i="51" s="1"/>
  <c r="H44" i="52"/>
  <c r="I44" i="51" s="1"/>
  <c r="C44" i="52"/>
  <c r="C44" i="51" s="1"/>
  <c r="G16" i="52"/>
  <c r="H16" i="51" s="1"/>
  <c r="D16" i="52"/>
  <c r="D16" i="51" s="1"/>
  <c r="H16" i="52"/>
  <c r="I16" i="51" s="1"/>
  <c r="E16" i="52"/>
  <c r="F16" i="51" s="1"/>
  <c r="F16" i="52"/>
  <c r="G16" i="51" s="1"/>
  <c r="C16" i="52"/>
  <c r="C16" i="51" s="1"/>
  <c r="G39" i="52"/>
  <c r="H39" i="51" s="1"/>
  <c r="F39" i="52"/>
  <c r="G39" i="51" s="1"/>
  <c r="H39" i="52"/>
  <c r="I39" i="51" s="1"/>
  <c r="D39" i="52"/>
  <c r="D39" i="51" s="1"/>
  <c r="E39" i="52"/>
  <c r="F39" i="51" s="1"/>
  <c r="C39" i="52"/>
  <c r="C39" i="51" s="1"/>
  <c r="D31" i="52"/>
  <c r="D31" i="51" s="1"/>
  <c r="H31" i="52"/>
  <c r="I31" i="51" s="1"/>
  <c r="E31" i="52"/>
  <c r="F31" i="51" s="1"/>
  <c r="G31" i="52"/>
  <c r="H31" i="51" s="1"/>
  <c r="F31" i="52"/>
  <c r="G31" i="51" s="1"/>
  <c r="C31" i="52"/>
  <c r="C31" i="51" s="1"/>
  <c r="F10" i="52"/>
  <c r="G10" i="51" s="1"/>
  <c r="H10" i="52"/>
  <c r="I10" i="51" s="1"/>
  <c r="G10" i="52"/>
  <c r="H10" i="51" s="1"/>
  <c r="E10" i="52"/>
  <c r="F10" i="51" s="1"/>
  <c r="D10" i="52"/>
  <c r="D10" i="51" s="1"/>
  <c r="C10" i="52"/>
  <c r="C10" i="51" s="1"/>
  <c r="H37" i="52"/>
  <c r="I37" i="51" s="1"/>
  <c r="F37" i="52"/>
  <c r="G37" i="51" s="1"/>
  <c r="G37" i="52"/>
  <c r="H37" i="51" s="1"/>
  <c r="E37" i="52"/>
  <c r="F37" i="51" s="1"/>
  <c r="D37" i="52"/>
  <c r="D37" i="51" s="1"/>
  <c r="C37" i="52"/>
  <c r="C37" i="51" s="1"/>
  <c r="F26" i="52"/>
  <c r="G26" i="51" s="1"/>
  <c r="G26" i="52"/>
  <c r="H26" i="51" s="1"/>
  <c r="H26" i="52"/>
  <c r="I26" i="51" s="1"/>
  <c r="E26" i="52"/>
  <c r="F26" i="51" s="1"/>
  <c r="D26" i="52"/>
  <c r="D26" i="51" s="1"/>
  <c r="C26" i="52"/>
  <c r="C26" i="51" s="1"/>
  <c r="D13" i="52"/>
  <c r="D13" i="51" s="1"/>
  <c r="E13" i="52"/>
  <c r="F13" i="51" s="1"/>
  <c r="H13" i="52"/>
  <c r="I13" i="51" s="1"/>
  <c r="G13" i="52"/>
  <c r="H13" i="51" s="1"/>
  <c r="F13" i="52"/>
  <c r="G13" i="51" s="1"/>
  <c r="C13" i="52"/>
  <c r="C13" i="51" s="1"/>
  <c r="D9" i="52"/>
  <c r="D9" i="51" s="1"/>
  <c r="E9" i="52"/>
  <c r="F9" i="51" s="1"/>
  <c r="H9" i="52"/>
  <c r="I9" i="51" s="1"/>
  <c r="F9" i="52"/>
  <c r="G9" i="51" s="1"/>
  <c r="G9" i="52"/>
  <c r="H9" i="51" s="1"/>
  <c r="C9" i="52"/>
  <c r="C9" i="51" s="1"/>
  <c r="E23" i="52"/>
  <c r="F23" i="51" s="1"/>
  <c r="G23" i="52"/>
  <c r="H23" i="51" s="1"/>
  <c r="D23" i="52"/>
  <c r="D23" i="51" s="1"/>
  <c r="H23" i="52"/>
  <c r="I23" i="51" s="1"/>
  <c r="F23" i="52"/>
  <c r="G23" i="51" s="1"/>
  <c r="C23" i="52"/>
  <c r="C23" i="51" s="1"/>
  <c r="H8" i="52"/>
  <c r="I8" i="51" s="1"/>
  <c r="F8" i="52"/>
  <c r="G8" i="51" s="1"/>
  <c r="D8" i="52"/>
  <c r="D8" i="51" s="1"/>
  <c r="G8" i="52"/>
  <c r="H8" i="51" s="1"/>
  <c r="E8" i="52"/>
  <c r="F8" i="51" s="1"/>
  <c r="C8" i="52"/>
  <c r="C8" i="51" s="1"/>
  <c r="G15" i="52"/>
  <c r="H15" i="51" s="1"/>
  <c r="D15" i="52"/>
  <c r="D15" i="51" s="1"/>
  <c r="E15" i="52"/>
  <c r="F15" i="51" s="1"/>
  <c r="H15" i="52"/>
  <c r="I15" i="51" s="1"/>
  <c r="F15" i="52"/>
  <c r="G15" i="51" s="1"/>
  <c r="C15" i="52"/>
  <c r="C15" i="51" s="1"/>
  <c r="F42" i="52"/>
  <c r="G42" i="51" s="1"/>
  <c r="G42" i="52"/>
  <c r="H42" i="51" s="1"/>
  <c r="E42" i="52"/>
  <c r="F42" i="51" s="1"/>
  <c r="D42" i="52"/>
  <c r="D42" i="51" s="1"/>
  <c r="H42" i="52"/>
  <c r="I42" i="51" s="1"/>
  <c r="C42" i="52"/>
  <c r="C42" i="51" s="1"/>
  <c r="G56" i="52"/>
  <c r="H56" i="51" s="1"/>
  <c r="D56" i="52"/>
  <c r="D56" i="51" s="1"/>
  <c r="H56" i="52"/>
  <c r="I56" i="51" s="1"/>
  <c r="E56" i="52"/>
  <c r="F56" i="51" s="1"/>
  <c r="F56" i="52"/>
  <c r="G56" i="51" s="1"/>
  <c r="C56" i="52"/>
  <c r="C56" i="51" s="1"/>
  <c r="E20" i="52"/>
  <c r="F20" i="51" s="1"/>
  <c r="G20" i="52"/>
  <c r="H20" i="51" s="1"/>
  <c r="H20" i="52"/>
  <c r="I20" i="51" s="1"/>
  <c r="F20" i="52"/>
  <c r="G20" i="51" s="1"/>
  <c r="D20" i="52"/>
  <c r="D20" i="51" s="1"/>
  <c r="C20" i="52"/>
  <c r="C20" i="51" s="1"/>
  <c r="E28" i="52"/>
  <c r="F28" i="51" s="1"/>
  <c r="D28" i="52"/>
  <c r="D28" i="51" s="1"/>
  <c r="G28" i="52"/>
  <c r="H28" i="51" s="1"/>
  <c r="H28" i="52"/>
  <c r="I28" i="51" s="1"/>
  <c r="F28" i="52"/>
  <c r="G28" i="51" s="1"/>
  <c r="C28" i="52"/>
  <c r="C28" i="51" s="1"/>
  <c r="D12" i="52"/>
  <c r="D12" i="51" s="1"/>
  <c r="G12" i="52"/>
  <c r="H12" i="51" s="1"/>
  <c r="F12" i="52"/>
  <c r="G12" i="51" s="1"/>
  <c r="H12" i="52"/>
  <c r="I12" i="51" s="1"/>
  <c r="E12" i="52"/>
  <c r="F12" i="51" s="1"/>
  <c r="C12" i="52"/>
  <c r="C12" i="51" s="1"/>
  <c r="H41" i="52"/>
  <c r="I41" i="51" s="1"/>
  <c r="F41" i="52"/>
  <c r="G41" i="51" s="1"/>
  <c r="G41" i="52"/>
  <c r="H41" i="51" s="1"/>
  <c r="E41" i="52"/>
  <c r="F41" i="51" s="1"/>
  <c r="D41" i="52"/>
  <c r="D41" i="51" s="1"/>
  <c r="C41" i="52"/>
  <c r="C41" i="51" s="1"/>
  <c r="F25" i="52"/>
  <c r="G25" i="51" s="1"/>
  <c r="G25" i="52"/>
  <c r="H25" i="51" s="1"/>
  <c r="D25" i="52"/>
  <c r="D25" i="51" s="1"/>
  <c r="H25" i="52"/>
  <c r="I25" i="51" s="1"/>
  <c r="E25" i="52"/>
  <c r="F25" i="51" s="1"/>
  <c r="C25" i="52"/>
  <c r="C25" i="51" s="1"/>
  <c r="F38" i="52"/>
  <c r="G38" i="51" s="1"/>
  <c r="H38" i="52"/>
  <c r="I38" i="51" s="1"/>
  <c r="E38" i="52"/>
  <c r="F38" i="51" s="1"/>
  <c r="G38" i="52"/>
  <c r="H38" i="51" s="1"/>
  <c r="D38" i="52"/>
  <c r="D38" i="51" s="1"/>
  <c r="C38" i="52"/>
  <c r="C38" i="51" s="1"/>
  <c r="H6" i="52"/>
  <c r="G6" i="52"/>
  <c r="E6" i="52"/>
  <c r="D6" i="52"/>
  <c r="F6" i="52"/>
  <c r="C6" i="52"/>
  <c r="H30" i="36"/>
  <c r="L30" i="36" s="1"/>
  <c r="M30" i="36" s="1"/>
  <c r="J29" i="51" s="1"/>
  <c r="H40" i="36"/>
  <c r="L40" i="36" s="1"/>
  <c r="M40" i="36" s="1"/>
  <c r="J39" i="51" s="1"/>
  <c r="H10" i="36"/>
  <c r="L10" i="36" s="1"/>
  <c r="M10" i="36" s="1"/>
  <c r="J9" i="51" s="1"/>
  <c r="H24" i="36"/>
  <c r="L24" i="36" s="1"/>
  <c r="M24" i="36" s="1"/>
  <c r="J23" i="51" s="1"/>
  <c r="H27" i="36"/>
  <c r="L27" i="36" s="1"/>
  <c r="M27" i="36" s="1"/>
  <c r="J26" i="51" s="1"/>
  <c r="H14" i="36"/>
  <c r="L14" i="36" s="1"/>
  <c r="M14" i="36" s="1"/>
  <c r="J13" i="51" s="1"/>
  <c r="H43" i="36"/>
  <c r="L43" i="36" s="1"/>
  <c r="M43" i="36" s="1"/>
  <c r="J42" i="51" s="1"/>
  <c r="H29" i="36"/>
  <c r="L29" i="36" s="1"/>
  <c r="M29" i="36" s="1"/>
  <c r="J28" i="51" s="1"/>
  <c r="H17" i="36"/>
  <c r="L17" i="36" s="1"/>
  <c r="M17" i="36" s="1"/>
  <c r="J16" i="51" s="1"/>
  <c r="H36" i="36"/>
  <c r="L36" i="36" s="1"/>
  <c r="M36" i="36" s="1"/>
  <c r="J35" i="51" s="1"/>
  <c r="H38" i="36"/>
  <c r="L38" i="36" s="1"/>
  <c r="M38" i="36" s="1"/>
  <c r="J37" i="51" s="1"/>
  <c r="H16" i="36"/>
  <c r="L16" i="36" s="1"/>
  <c r="M16" i="36" s="1"/>
  <c r="J15" i="51" s="1"/>
  <c r="H21" i="36"/>
  <c r="L21" i="36" s="1"/>
  <c r="M21" i="36" s="1"/>
  <c r="J20" i="51" s="1"/>
  <c r="H31" i="36"/>
  <c r="L31" i="36" s="1"/>
  <c r="M31" i="36" s="1"/>
  <c r="J30" i="51" s="1"/>
  <c r="H42" i="36"/>
  <c r="L42" i="36" s="1"/>
  <c r="M42" i="36" s="1"/>
  <c r="J41" i="51" s="1"/>
  <c r="H39" i="36"/>
  <c r="L39" i="36" s="1"/>
  <c r="M39" i="36" s="1"/>
  <c r="J38" i="51" s="1"/>
  <c r="H53" i="36"/>
  <c r="L53" i="36" s="1"/>
  <c r="M53" i="36" s="1"/>
  <c r="J52" i="51" s="1"/>
  <c r="H34" i="36"/>
  <c r="L34" i="36" s="1"/>
  <c r="M34" i="36" s="1"/>
  <c r="J33" i="51" s="1"/>
  <c r="H33" i="36"/>
  <c r="L33" i="36" s="1"/>
  <c r="M33" i="36" s="1"/>
  <c r="J32" i="51" s="1"/>
  <c r="H48" i="36"/>
  <c r="L48" i="36" s="1"/>
  <c r="M48" i="36" s="1"/>
  <c r="J47" i="51" s="1"/>
  <c r="H55" i="36"/>
  <c r="L55" i="36" s="1"/>
  <c r="M55" i="36" s="1"/>
  <c r="J54" i="51" s="1"/>
  <c r="H25" i="36"/>
  <c r="L25" i="36" s="1"/>
  <c r="M25" i="36" s="1"/>
  <c r="J24" i="51" s="1"/>
  <c r="H41" i="36"/>
  <c r="L41" i="36" s="1"/>
  <c r="M41" i="36" s="1"/>
  <c r="J40" i="51" s="1"/>
  <c r="H32" i="36"/>
  <c r="L32" i="36" s="1"/>
  <c r="M32" i="36" s="1"/>
  <c r="J31" i="51" s="1"/>
  <c r="H11" i="36"/>
  <c r="L11" i="36" s="1"/>
  <c r="M11" i="36" s="1"/>
  <c r="J10" i="51" s="1"/>
  <c r="H9" i="36"/>
  <c r="L9" i="36" s="1"/>
  <c r="M9" i="36" s="1"/>
  <c r="J8" i="51" s="1"/>
  <c r="H57" i="36"/>
  <c r="L57" i="36" s="1"/>
  <c r="M57" i="36" s="1"/>
  <c r="J56" i="51" s="1"/>
  <c r="H13" i="36"/>
  <c r="L13" i="36" s="1"/>
  <c r="M13" i="36" s="1"/>
  <c r="J12" i="51" s="1"/>
  <c r="H26" i="36"/>
  <c r="L26" i="36" s="1"/>
  <c r="M26" i="36" s="1"/>
  <c r="J25" i="51" s="1"/>
  <c r="H50" i="36"/>
  <c r="L50" i="36" s="1"/>
  <c r="M50" i="36" s="1"/>
  <c r="J49" i="51" s="1"/>
  <c r="H46" i="36"/>
  <c r="L46" i="36" s="1"/>
  <c r="M46" i="36" s="1"/>
  <c r="J45" i="51" s="1"/>
  <c r="H44" i="36"/>
  <c r="L44" i="36" s="1"/>
  <c r="M44" i="36" s="1"/>
  <c r="J43" i="51" s="1"/>
  <c r="H56" i="36"/>
  <c r="L56" i="36" s="1"/>
  <c r="M56" i="36" s="1"/>
  <c r="J55" i="51" s="1"/>
  <c r="H54" i="36"/>
  <c r="L54" i="36" s="1"/>
  <c r="M54" i="36" s="1"/>
  <c r="J53" i="51" s="1"/>
  <c r="H15" i="36"/>
  <c r="L15" i="36" s="1"/>
  <c r="M15" i="36" s="1"/>
  <c r="J14" i="51" s="1"/>
  <c r="H51" i="36"/>
  <c r="L51" i="36" s="1"/>
  <c r="M51" i="36" s="1"/>
  <c r="J50" i="51" s="1"/>
  <c r="H49" i="36"/>
  <c r="L49" i="36" s="1"/>
  <c r="M49" i="36" s="1"/>
  <c r="J48" i="51" s="1"/>
  <c r="H47" i="36"/>
  <c r="L47" i="36" s="1"/>
  <c r="M47" i="36" s="1"/>
  <c r="J46" i="51" s="1"/>
  <c r="H19" i="36"/>
  <c r="L19" i="36" s="1"/>
  <c r="M19" i="36" s="1"/>
  <c r="J18" i="51" s="1"/>
  <c r="H37" i="36"/>
  <c r="L37" i="36" s="1"/>
  <c r="M37" i="36" s="1"/>
  <c r="J36" i="51" s="1"/>
  <c r="H18" i="36"/>
  <c r="L18" i="36" s="1"/>
  <c r="M18" i="36" s="1"/>
  <c r="J17" i="51" s="1"/>
  <c r="H22" i="36"/>
  <c r="L22" i="36" s="1"/>
  <c r="M22" i="36" s="1"/>
  <c r="J21" i="51" s="1"/>
  <c r="H52" i="36"/>
  <c r="L52" i="36" s="1"/>
  <c r="M52" i="36" s="1"/>
  <c r="J51" i="51" s="1"/>
  <c r="H8" i="36"/>
  <c r="L8" i="36" s="1"/>
  <c r="M8" i="36" s="1"/>
  <c r="J7" i="51" s="1"/>
  <c r="H12" i="36"/>
  <c r="L12" i="36" s="1"/>
  <c r="M12" i="36" s="1"/>
  <c r="J11" i="51" s="1"/>
  <c r="H23" i="36"/>
  <c r="L23" i="36" s="1"/>
  <c r="M23" i="36" s="1"/>
  <c r="J22" i="51" s="1"/>
  <c r="H35" i="36"/>
  <c r="L35" i="36" s="1"/>
  <c r="M35" i="36" s="1"/>
  <c r="J34" i="51" s="1"/>
  <c r="H20" i="36"/>
  <c r="L20" i="36" s="1"/>
  <c r="M20" i="36" s="1"/>
  <c r="J19" i="51" s="1"/>
  <c r="H45" i="36"/>
  <c r="L45" i="36" s="1"/>
  <c r="M45" i="36" s="1"/>
  <c r="J44" i="51" s="1"/>
  <c r="H28" i="36"/>
  <c r="H7" i="36"/>
  <c r="L28" i="36"/>
  <c r="M28" i="36" s="1"/>
  <c r="J27" i="51" s="1"/>
  <c r="L7" i="36"/>
  <c r="AF58" i="1"/>
  <c r="H6" i="51" l="1"/>
  <c r="H57" i="51" s="1"/>
  <c r="G57" i="52"/>
  <c r="D57" i="52"/>
  <c r="D6" i="51"/>
  <c r="D57" i="51" s="1"/>
  <c r="I6" i="51"/>
  <c r="I57" i="51" s="1"/>
  <c r="H57" i="52"/>
  <c r="F6" i="51"/>
  <c r="F57" i="51" s="1"/>
  <c r="E57" i="52"/>
  <c r="C6" i="51"/>
  <c r="C57" i="51" s="1"/>
  <c r="C57" i="52"/>
  <c r="G6" i="51"/>
  <c r="G57" i="51" s="1"/>
  <c r="F57" i="52"/>
  <c r="L51" i="51"/>
  <c r="C48" i="53" s="1"/>
  <c r="D48" i="53" s="1"/>
  <c r="L17" i="51"/>
  <c r="C14" i="53" s="1"/>
  <c r="D14" i="53" s="1"/>
  <c r="L10" i="51"/>
  <c r="C7" i="53" s="1"/>
  <c r="D7" i="53" s="1"/>
  <c r="L24" i="51"/>
  <c r="C21" i="53" s="1"/>
  <c r="D21" i="53" s="1"/>
  <c r="L29" i="51"/>
  <c r="C26" i="53" s="1"/>
  <c r="D26" i="53" s="1"/>
  <c r="L41" i="51"/>
  <c r="C38" i="53" s="1"/>
  <c r="D38" i="53" s="1"/>
  <c r="L56" i="51"/>
  <c r="C53" i="53" s="1"/>
  <c r="D53" i="53" s="1"/>
  <c r="L37" i="51"/>
  <c r="C34" i="53" s="1"/>
  <c r="D34" i="53" s="1"/>
  <c r="L42" i="51"/>
  <c r="C39" i="53" s="1"/>
  <c r="D39" i="53" s="1"/>
  <c r="L54" i="51"/>
  <c r="C51" i="53" s="1"/>
  <c r="D51" i="53" s="1"/>
  <c r="L16" i="51"/>
  <c r="C13" i="53" s="1"/>
  <c r="D13" i="53" s="1"/>
  <c r="L8" i="51"/>
  <c r="C5" i="53" s="1"/>
  <c r="D5" i="53" s="1"/>
  <c r="L49" i="51"/>
  <c r="C46" i="53" s="1"/>
  <c r="D46" i="53" s="1"/>
  <c r="L38" i="51"/>
  <c r="C35" i="53" s="1"/>
  <c r="D35" i="53" s="1"/>
  <c r="L30" i="51"/>
  <c r="C27" i="53" s="1"/>
  <c r="D27" i="53" s="1"/>
  <c r="L12" i="51"/>
  <c r="C9" i="53" s="1"/>
  <c r="D9" i="53" s="1"/>
  <c r="L21" i="51"/>
  <c r="C18" i="53" s="1"/>
  <c r="D18" i="53" s="1"/>
  <c r="H58" i="36"/>
  <c r="L58" i="36"/>
  <c r="M7" i="36"/>
  <c r="J6" i="51" l="1"/>
  <c r="L55" i="51"/>
  <c r="C52" i="53" s="1"/>
  <c r="D52" i="53" s="1"/>
  <c r="L15" i="51"/>
  <c r="C12" i="53" s="1"/>
  <c r="D12" i="53" s="1"/>
  <c r="L25" i="51"/>
  <c r="C22" i="53" s="1"/>
  <c r="D22" i="53" s="1"/>
  <c r="L50" i="51"/>
  <c r="C47" i="53" s="1"/>
  <c r="D47" i="53" s="1"/>
  <c r="L28" i="51"/>
  <c r="C25" i="53" s="1"/>
  <c r="D25" i="53" s="1"/>
  <c r="L40" i="51"/>
  <c r="C37" i="53" s="1"/>
  <c r="D37" i="53" s="1"/>
  <c r="L14" i="51"/>
  <c r="C11" i="53" s="1"/>
  <c r="D11" i="53" s="1"/>
  <c r="L32" i="51"/>
  <c r="C29" i="53" s="1"/>
  <c r="D29" i="53" s="1"/>
  <c r="L23" i="51"/>
  <c r="C20" i="53" s="1"/>
  <c r="D20" i="53" s="1"/>
  <c r="L36" i="51"/>
  <c r="C33" i="53" s="1"/>
  <c r="D33" i="53" s="1"/>
  <c r="L20" i="51"/>
  <c r="C17" i="53" s="1"/>
  <c r="D17" i="53" s="1"/>
  <c r="L27" i="51"/>
  <c r="C24" i="53" s="1"/>
  <c r="D24" i="53" s="1"/>
  <c r="L9" i="51"/>
  <c r="C6" i="53" s="1"/>
  <c r="D6" i="53" s="1"/>
  <c r="L19" i="51"/>
  <c r="C16" i="53" s="1"/>
  <c r="D16" i="53" s="1"/>
  <c r="L13" i="51"/>
  <c r="C10" i="53" s="1"/>
  <c r="D10" i="53" s="1"/>
  <c r="L48" i="51"/>
  <c r="C45" i="53" s="1"/>
  <c r="D45" i="53" s="1"/>
  <c r="L43" i="51"/>
  <c r="C40" i="53" s="1"/>
  <c r="D40" i="53" s="1"/>
  <c r="L33" i="51"/>
  <c r="C30" i="53" s="1"/>
  <c r="D30" i="53" s="1"/>
  <c r="L46" i="51"/>
  <c r="C43" i="53" s="1"/>
  <c r="D43" i="53" s="1"/>
  <c r="L22" i="51"/>
  <c r="C19" i="53" s="1"/>
  <c r="D19" i="53" s="1"/>
  <c r="L34" i="51"/>
  <c r="C31" i="53" s="1"/>
  <c r="D31" i="53" s="1"/>
  <c r="L35" i="51"/>
  <c r="C32" i="53" s="1"/>
  <c r="D32" i="53" s="1"/>
  <c r="L18" i="51"/>
  <c r="C15" i="53" s="1"/>
  <c r="D15" i="53" s="1"/>
  <c r="L11" i="51"/>
  <c r="C8" i="53" s="1"/>
  <c r="D8" i="53" s="1"/>
  <c r="L31" i="51"/>
  <c r="C28" i="53" s="1"/>
  <c r="D28" i="53" s="1"/>
  <c r="L39" i="51"/>
  <c r="C36" i="53" s="1"/>
  <c r="D36" i="53" s="1"/>
  <c r="L44" i="51"/>
  <c r="C41" i="53" s="1"/>
  <c r="D41" i="53" s="1"/>
  <c r="L26" i="51"/>
  <c r="C23" i="53" s="1"/>
  <c r="D23" i="53" s="1"/>
  <c r="L52" i="51"/>
  <c r="C49" i="53" s="1"/>
  <c r="D49" i="53" s="1"/>
  <c r="L53" i="51"/>
  <c r="C50" i="53" s="1"/>
  <c r="D50" i="53" s="1"/>
  <c r="L47" i="51"/>
  <c r="C44" i="53" s="1"/>
  <c r="D44" i="53" s="1"/>
  <c r="L45" i="51"/>
  <c r="C42" i="53" s="1"/>
  <c r="D42" i="53" s="1"/>
  <c r="J57" i="51"/>
  <c r="L57" i="51" s="1"/>
  <c r="L7" i="51"/>
  <c r="C4" i="53" s="1"/>
  <c r="D4" i="53" s="1"/>
  <c r="L6" i="51"/>
  <c r="C3" i="53" s="1"/>
  <c r="M58" i="36"/>
  <c r="N7" i="36" s="1"/>
  <c r="D3" i="53" l="1"/>
  <c r="D54" i="53" s="1"/>
  <c r="C54" i="53"/>
  <c r="N56" i="36"/>
  <c r="N22" i="36"/>
  <c r="N31" i="36"/>
  <c r="N25" i="36"/>
  <c r="N50" i="36"/>
  <c r="N34" i="36"/>
  <c r="N53" i="36"/>
  <c r="N40" i="36"/>
  <c r="N38" i="36"/>
  <c r="N43" i="36"/>
  <c r="N26" i="36"/>
  <c r="N57" i="36"/>
  <c r="N39" i="36"/>
  <c r="N32" i="36"/>
  <c r="N48" i="36"/>
  <c r="N30" i="36"/>
  <c r="N37" i="36"/>
  <c r="N27" i="36"/>
  <c r="N19" i="36"/>
  <c r="N10" i="36"/>
  <c r="N20" i="36"/>
  <c r="N51" i="36"/>
  <c r="N14" i="36"/>
  <c r="N21" i="36"/>
  <c r="N41" i="36"/>
  <c r="N45" i="36"/>
  <c r="N23" i="36"/>
  <c r="N54" i="36"/>
  <c r="N44" i="36"/>
  <c r="N15" i="36"/>
  <c r="N47" i="36"/>
  <c r="N18" i="36"/>
  <c r="N46" i="36"/>
  <c r="N8" i="36"/>
  <c r="N42" i="36"/>
  <c r="N11" i="36"/>
  <c r="N52" i="36"/>
  <c r="N36" i="36"/>
  <c r="N17" i="36"/>
  <c r="N35" i="36"/>
  <c r="N16" i="36"/>
  <c r="N55" i="36"/>
  <c r="N33" i="36"/>
  <c r="N9" i="36"/>
  <c r="N13" i="36"/>
  <c r="N29" i="36"/>
  <c r="N49" i="36"/>
  <c r="N12" i="36"/>
  <c r="N28" i="36"/>
  <c r="N24" i="36"/>
  <c r="N58" i="36" l="1"/>
  <c r="B15" i="43" l="1"/>
</calcChain>
</file>

<file path=xl/sharedStrings.xml><?xml version="1.0" encoding="utf-8"?>
<sst xmlns="http://schemas.openxmlformats.org/spreadsheetml/2006/main" count="788" uniqueCount="237">
  <si>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</si>
  <si>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</si>
  <si>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</si>
  <si>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</si>
  <si>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</si>
  <si>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</si>
  <si>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</si>
  <si>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</si>
  <si>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</si>
  <si>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</si>
  <si>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</si>
  <si>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</si>
  <si>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</si>
  <si>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</si>
  <si>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</si>
  <si>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</si>
  <si>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</si>
  <si>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</si>
  <si>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</si>
  <si>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</si>
  <si>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</si>
  <si>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</si>
  <si>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</si>
  <si>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</si>
  <si>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</si>
  <si>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</si>
  <si>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</si>
  <si>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</si>
  <si>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</si>
  <si>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</si>
  <si>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</si>
  <si>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</si>
  <si>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</si>
  <si>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</si>
  <si>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</si>
  <si>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</si>
  <si>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</si>
  <si>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</si>
  <si>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</si>
  <si>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</si>
  <si>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</si>
  <si>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</si>
  <si>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</si>
  <si>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</si>
  <si>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</si>
  <si>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</si>
  <si>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</si>
  <si>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</si>
  <si>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</si>
  <si>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</si>
  <si>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</si>
  <si>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</si>
  <si>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</si>
  <si>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</si>
  <si>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</si>
  <si>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</si>
  <si>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</si>
  <si>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</si>
  <si>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</si>
  <si>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</si>
  <si>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</si>
  <si>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</si>
  <si>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</si>
  <si>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</si>
  <si>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</si>
  <si>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</si>
  <si>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</si>
  <si>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</si>
  <si>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</si>
  <si>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</si>
  <si>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</si>
  <si>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</si>
  <si>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</si>
  <si>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</si>
  <si>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</si>
  <si>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</si>
  <si>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</si>
  <si>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</si>
  <si>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</si>
  <si>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</si>
  <si>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</si>
  <si>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</si>
  <si>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</si>
  <si>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</si>
  <si>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</si>
  <si>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</si>
  <si>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</si>
  <si>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</si>
  <si>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</si>
  <si>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</si>
  <si>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</si>
  <si>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</si>
  <si>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</si>
  <si>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</si>
  <si>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</si>
  <si>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</si>
  <si>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</si>
  <si>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Fondo de Compensacion ISAN</t>
  </si>
  <si>
    <t xml:space="preserve">Impuesto sobre Adquisición de Vehículos Nuevos (ISAN) </t>
  </si>
  <si>
    <t>ISAN</t>
  </si>
  <si>
    <t>COMP ISAN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</si>
  <si>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</si>
  <si>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</si>
  <si>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</si>
  <si>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</si>
  <si>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</si>
  <si>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</si>
  <si>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</si>
  <si>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</si>
  <si>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</si>
  <si>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</si>
  <si>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</si>
  <si>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</si>
  <si>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</si>
  <si>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</si>
  <si>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</si>
  <si>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</si>
  <si>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</si>
  <si>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</si>
  <si>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</si>
  <si>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</si>
  <si>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</si>
  <si>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</si>
  <si>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</si>
  <si>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</si>
  <si>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</si>
  <si>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</si>
  <si>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</si>
  <si>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</si>
  <si>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</si>
  <si>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</si>
  <si>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</si>
  <si>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</si>
  <si>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</si>
  <si>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</si>
  <si>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</si>
  <si>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</si>
  <si>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</si>
  <si>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</si>
  <si>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</si>
  <si>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</si>
  <si>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</si>
  <si>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</si>
  <si>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</si>
  <si>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</si>
  <si>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FFM 70%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</si>
  <si>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</si>
  <si>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</si>
  <si>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</si>
  <si>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</si>
  <si>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Total</t>
  </si>
  <si>
    <t>Las sumas puede no coincidr por el cuestiones de redondeo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</si>
  <si>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</si>
  <si>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</si>
  <si>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</si>
  <si>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</si>
  <si>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</si>
  <si>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</si>
  <si>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</si>
  <si>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</si>
  <si>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</si>
  <si>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</si>
  <si>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</si>
  <si>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</si>
  <si>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</si>
  <si>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</si>
  <si>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</si>
  <si>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PP2M</t>
  </si>
  <si>
    <t>PP1M</t>
  </si>
  <si>
    <t>CPP1M</t>
  </si>
  <si>
    <t>ICPM=(PP1M/∑PP1M)</t>
  </si>
  <si>
    <t>IP=(ICPM*CPP!M)</t>
  </si>
  <si>
    <t>IP/∑IP</t>
  </si>
  <si>
    <t>(0.85*CIMP)*(IP)</t>
  </si>
  <si>
    <t>M=PP2M/PP1M</t>
  </si>
  <si>
    <t>EP/∑EP</t>
  </si>
  <si>
    <t>(0.15*CIMP)*(EP/∑EP)</t>
  </si>
  <si>
    <t>DIPM</t>
  </si>
  <si>
    <t>CDIPM</t>
  </si>
  <si>
    <t>Monto Distribuido 2021</t>
  </si>
  <si>
    <t>Diferencia</t>
  </si>
  <si>
    <t>FONDO DE ISR POR LA ENAJENACIÓN DE BIENES INMUEBLES</t>
  </si>
  <si>
    <t xml:space="preserve"> MUNICIPIO </t>
  </si>
  <si>
    <t>COEFICIENTE</t>
  </si>
  <si>
    <t>DISTRIBUCIÓN</t>
  </si>
  <si>
    <t xml:space="preserve">         TOTAL </t>
  </si>
  <si>
    <t>SUBTOTAL</t>
  </si>
  <si>
    <t>Impuesto sobre la Renta de Enajenación de Bienes Inmuebles (ISR BI)</t>
  </si>
  <si>
    <t>PERSONAS EN POBREZA 2015</t>
  </si>
  <si>
    <t>PERSONAS EN POBREZA 2020</t>
  </si>
  <si>
    <t>RECAUDACIÓN 2021</t>
  </si>
  <si>
    <t>SUBSECRETARÍA DE POLITICA DE INGRESOS, COORDINACIÓN DE PLANEACIÓN HACENDARIA</t>
  </si>
  <si>
    <t>IEPS GYD</t>
  </si>
  <si>
    <t>Incidencia de la Pobreza 2020</t>
  </si>
  <si>
    <t>Carencias promedio en situación de pobreza 2020</t>
  </si>
  <si>
    <t>ISR BI</t>
  </si>
  <si>
    <t>MES</t>
  </si>
  <si>
    <t>PROYECCIÓN DE POBLACIÓN 2022</t>
  </si>
  <si>
    <t>Cálculo de Distribución 2023</t>
  </si>
  <si>
    <t>RECAUDACIÓN 2022</t>
  </si>
  <si>
    <t>FACTURACIÓN 2022
(2018-2022)</t>
  </si>
  <si>
    <t>ISAI 2022</t>
  </si>
  <si>
    <t>Distribución Anual 2021</t>
  </si>
  <si>
    <t>COEFICIENTE BASE 2021</t>
  </si>
  <si>
    <t>PARTICIPACIONES A MUNICIPIOS 2021</t>
  </si>
  <si>
    <t>CÁLCULO DE PARTICIPACIONES DEL COPETE A MUNICIPIOS 2023</t>
  </si>
  <si>
    <t>2023</t>
  </si>
  <si>
    <t>Participaciones Observadas 2023</t>
  </si>
  <si>
    <t>FACTURACIÓN  2021
(2017-2021)</t>
  </si>
  <si>
    <t>FUENTE:
Facturación de Predial.- Instituto Registral y Catastral
Recaudación de Predial.- Municipios del Estado
Población.- Censo de Población y Vivienda 2020
Territorio.- INEGI
Variables de Social 2015 Y 2020.- CONEVAL</t>
  </si>
  <si>
    <t>MONTO OBSERVADO</t>
  </si>
  <si>
    <t>SAN PEDRO GARZA GARCIA</t>
  </si>
  <si>
    <t>SAN NICOLAS DE LOS GARZA</t>
  </si>
  <si>
    <t>RAMONES</t>
  </si>
  <si>
    <t>PARAS</t>
  </si>
  <si>
    <t>MARIN</t>
  </si>
  <si>
    <t>LAMPAZOS</t>
  </si>
  <si>
    <t>JUAREZ</t>
  </si>
  <si>
    <t>HERRERAS</t>
  </si>
  <si>
    <t>GENERAL TERAN</t>
  </si>
  <si>
    <t>GARCIA</t>
  </si>
  <si>
    <t>DOCTOR GONZALEZ</t>
  </si>
  <si>
    <t>CIENEGA DE FLORES</t>
  </si>
  <si>
    <t>CADEREYTA JIMENEZ</t>
  </si>
  <si>
    <t>ANAHUAC</t>
  </si>
  <si>
    <t>ALDAMAS</t>
  </si>
  <si>
    <t>Saldo Total</t>
  </si>
  <si>
    <t>Total de participaciones federales definitivas</t>
  </si>
  <si>
    <t>Total de participaciones federales provisionales</t>
  </si>
  <si>
    <t>SALDOS DERIVADOS DEL AJUSTE DE PARTICIPACIONES FEDERALES DEL EJERCICIO FISCAL 2023</t>
  </si>
  <si>
    <t>LOS MONTOS NO INCLUYEN DESCUENTOS NI COMPENSACIÓN ALGUNA</t>
  </si>
  <si>
    <t>LOS TOTALES PUEDEN NO COINCIDRI POR CUESTIONES DE REDONDEO</t>
  </si>
  <si>
    <t>Impuesto sobre la Renta Enajenación de Inmuebles</t>
  </si>
  <si>
    <t>Impuesto Sobre la Venta Final de Gasolinas y Diesel</t>
  </si>
  <si>
    <t>SALDOS POR FONDO DERIVADOS DEL AJUSTE DE PARTICIPACIONES FEDERALES DEL EJERCICIO FISCAL 2023</t>
  </si>
  <si>
    <t>CÁLCULO DE DISTRIBUCIÓN DE PARTICIPACIONES PROVISIONALES 2023</t>
  </si>
  <si>
    <t>CÁLCULO DE DISTRIBUCIÓN DE PARTICIPACIONES DEFINITIVAS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</si>
</sst>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#,##0\ &quot;$&quot;;[Red]\-#,##0\ &quot;$&quot;"/>
    <numFmt numFmtId="168" formatCode="&quot;$&quot;\ #,##0.00"/>
    <numFmt numFmtId="169" formatCode="\U\ #,##0.00"/>
    <numFmt numFmtId="170" formatCode="_(* #,##0.000000_);_(* \(#,##0.000000\);_(* &quot;-&quot;??_);_(@_)"/>
    <numFmt numFmtId="171" formatCode="0.00000000%"/>
    <numFmt numFmtId="172" formatCode="_(* #,##0.00000000_);_(* \(#,##0.00000000\);_(* &quot;-&quot;??_);_(@_)"/>
    <numFmt numFmtId="173" formatCode="0.000000"/>
    <numFmt numFmtId="174" formatCode="0.00000000"/>
    <numFmt numFmtId="175" formatCode="0.0000000000"/>
    <numFmt numFmtId="176" formatCode="0.000000000"/>
    <numFmt numFmtId="177" formatCode="#,##0.0000;\-#,##0.0000"/>
    <numFmt numFmtId="178" formatCode="#,##0.00000000000;\-#,##0.00000000000"/>
    <numFmt numFmtId="179" formatCode="0.0000%"/>
    <numFmt numFmtId="180" formatCode="General_)"/>
    <numFmt numFmtId="181" formatCode="_-[$€-2]* #,##0.00_-;\-[$€-2]* #,##0.00_-;_-[$€-2]* &quot;-&quot;??_-"/>
    <numFmt numFmtId="182" formatCode="_-* #,##0_-;\-* #,##0_-;_-* &quot;-&quot;??_-;_-@_-"/>
    <numFmt numFmtId="183" formatCode="_-* #,##0.0000_-;\-* #,##0.0000_-;_-* &quot;-&quot;????_-;_-@_-"/>
    <numFmt numFmtId="184" formatCode="_-* #,##0.0000_-;\-* #,##0.0000_-;_-* &quot;-&quot;_-;_-@_-"/>
    <numFmt numFmtId="185" formatCode="_-* #,##0.0000_-;\-* #,##0.0000_-;_-* &quot;-&quot;??_-;_-@_-"/>
    <numFmt numFmtId="186" formatCode="#,##0.0000_ ;[Red]\-#,##0.0000\ "/>
    <numFmt numFmtId="187" formatCode="#,##0_ ;[Red]\-#,##0\ "/>
    <numFmt numFmtId="188" formatCode="0.00000000000"/>
    <numFmt numFmtId="189" formatCode="#,##0.00_ ;[Red]\-#,##0.00\ "/>
    <numFmt numFmtId="190" formatCode="_-* #,##0.000000_-;\-* #,##0.000000_-;_-* &quot;-&quot;??_-;_-@_-"/>
    <numFmt numFmtId="191" formatCode="_-* #,##0.00000_-;\-* #,##0.00000_-;_-* &quot;-&quot;??_-;_-@_-"/>
    <numFmt numFmtId="192" formatCode="#,##0.0000000;\-#,##0.0000000"/>
    <numFmt numFmtId="193" formatCode="#,##0.00000000;\-#,##0.000000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b/>
      <sz val="10"/>
      <color indexed="62"/>
      <name val="Arial"/>
      <family val="2"/>
    </font>
    <font>
      <b/>
      <sz val="10"/>
      <color rgb="FF0061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67" fontId="10" fillId="0" borderId="0" applyFont="0" applyFill="0" applyBorder="0" applyAlignment="0" applyProtection="0"/>
    <xf numFmtId="0" fontId="24" fillId="3" borderId="0" applyNumberFormat="0" applyBorder="0" applyAlignment="0" applyProtection="0"/>
    <xf numFmtId="164" fontId="10" fillId="0" borderId="0" applyFont="0" applyFill="0" applyBorder="0" applyAlignment="0" applyProtection="0"/>
    <xf numFmtId="0" fontId="25" fillId="22" borderId="0" applyNumberFormat="0" applyBorder="0" applyAlignment="0" applyProtection="0"/>
    <xf numFmtId="0" fontId="33" fillId="0" borderId="0"/>
    <xf numFmtId="0" fontId="12" fillId="0" borderId="0"/>
    <xf numFmtId="37" fontId="11" fillId="0" borderId="0"/>
    <xf numFmtId="0" fontId="16" fillId="23" borderId="4" applyNumberFormat="0" applyFont="0" applyAlignment="0" applyProtection="0"/>
    <xf numFmtId="168" fontId="12" fillId="0" borderId="0" applyFont="0" applyFill="0" applyBorder="0" applyAlignment="0" applyProtection="0">
      <alignment horizontal="right"/>
    </xf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169" fontId="13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0" fontId="1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1" fontId="10" fillId="0" borderId="0" applyFont="0" applyFill="0" applyBorder="0" applyAlignment="0" applyProtection="0"/>
    <xf numFmtId="0" fontId="24" fillId="3" borderId="0" applyNumberFormat="0" applyBorder="0" applyAlignment="0" applyProtection="0"/>
    <xf numFmtId="41" fontId="10" fillId="0" borderId="0" applyFont="0" applyFill="0" applyBorder="0" applyAlignment="0" applyProtection="0"/>
    <xf numFmtId="0" fontId="25" fillId="22" borderId="0" applyNumberFormat="0" applyBorder="0" applyAlignment="0" applyProtection="0"/>
    <xf numFmtId="0" fontId="10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9" fillId="0" borderId="0"/>
    <xf numFmtId="43" fontId="10" fillId="0" borderId="0" applyFont="0" applyFill="0" applyBorder="0" applyAlignment="0" applyProtection="0"/>
    <xf numFmtId="0" fontId="49" fillId="0" borderId="0"/>
    <xf numFmtId="0" fontId="8" fillId="0" borderId="0"/>
    <xf numFmtId="43" fontId="50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10" fillId="0" borderId="0"/>
    <xf numFmtId="0" fontId="53" fillId="0" borderId="0"/>
    <xf numFmtId="43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4" fillId="2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4" fillId="0" borderId="0"/>
    <xf numFmtId="43" fontId="4" fillId="0" borderId="0" applyFont="0" applyFill="0" applyBorder="0" applyAlignment="0" applyProtection="0"/>
    <xf numFmtId="0" fontId="19" fillId="16" borderId="73" applyNumberFormat="0" applyAlignment="0" applyProtection="0"/>
    <xf numFmtId="0" fontId="20" fillId="17" borderId="74" applyNumberFormat="0" applyAlignment="0" applyProtection="0"/>
    <xf numFmtId="0" fontId="23" fillId="7" borderId="73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23" borderId="75" applyNumberFormat="0" applyFont="0" applyAlignment="0" applyProtection="0"/>
    <xf numFmtId="0" fontId="26" fillId="16" borderId="76" applyNumberFormat="0" applyAlignment="0" applyProtection="0"/>
    <xf numFmtId="0" fontId="32" fillId="0" borderId="77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37" fontId="15" fillId="0" borderId="0" xfId="37" applyFont="1" applyAlignment="1" applyProtection="1">
      <alignment horizontal="center" vertical="center" wrapText="1"/>
      <protection hidden="1"/>
    </xf>
    <xf numFmtId="37" fontId="10" fillId="0" borderId="11" xfId="37" applyFont="1" applyBorder="1" applyAlignment="1" applyProtection="1">
      <alignment horizontal="left"/>
      <protection hidden="1"/>
    </xf>
    <xf numFmtId="37" fontId="10" fillId="0" borderId="20" xfId="37" applyFont="1" applyBorder="1" applyAlignment="1" applyProtection="1">
      <alignment horizontal="right"/>
      <protection hidden="1"/>
    </xf>
    <xf numFmtId="37" fontId="10" fillId="0" borderId="12" xfId="37" applyFont="1" applyBorder="1" applyAlignment="1" applyProtection="1">
      <alignment horizontal="left"/>
      <protection hidden="1"/>
    </xf>
    <xf numFmtId="37" fontId="10" fillId="0" borderId="22" xfId="37" applyFont="1" applyBorder="1" applyAlignment="1" applyProtection="1">
      <alignment horizontal="right"/>
      <protection hidden="1"/>
    </xf>
    <xf numFmtId="37" fontId="14" fillId="0" borderId="13" xfId="37" applyFont="1" applyBorder="1" applyAlignment="1" applyProtection="1">
      <alignment horizontal="left"/>
      <protection hidden="1"/>
    </xf>
    <xf numFmtId="37" fontId="14" fillId="0" borderId="14" xfId="37" applyFont="1" applyBorder="1" applyAlignment="1" applyProtection="1">
      <alignment horizontal="right"/>
      <protection hidden="1"/>
    </xf>
    <xf numFmtId="37" fontId="14" fillId="0" borderId="10" xfId="37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9" fontId="14" fillId="0" borderId="10" xfId="40" applyFont="1" applyFill="1" applyBorder="1" applyAlignment="1" applyProtection="1">
      <alignment horizontal="center" vertical="center" wrapText="1"/>
      <protection hidden="1"/>
    </xf>
    <xf numFmtId="37" fontId="10" fillId="0" borderId="0" xfId="37" applyFont="1" applyProtection="1">
      <protection hidden="1"/>
    </xf>
    <xf numFmtId="9" fontId="14" fillId="0" borderId="10" xfId="0" applyNumberFormat="1" applyFont="1" applyBorder="1" applyAlignment="1" applyProtection="1">
      <alignment horizontal="center" vertical="center" wrapText="1"/>
      <protection hidden="1"/>
    </xf>
    <xf numFmtId="37" fontId="35" fillId="0" borderId="0" xfId="37" applyFont="1" applyAlignment="1" applyProtection="1">
      <alignment horizontal="center" vertical="center"/>
      <protection hidden="1"/>
    </xf>
    <xf numFmtId="37" fontId="35" fillId="0" borderId="0" xfId="37" applyFont="1" applyProtection="1">
      <protection hidden="1"/>
    </xf>
    <xf numFmtId="37" fontId="40" fillId="0" borderId="0" xfId="37" applyFont="1" applyAlignment="1" applyProtection="1">
      <alignment horizontal="center" vertical="center" wrapText="1"/>
      <protection hidden="1"/>
    </xf>
    <xf numFmtId="37" fontId="40" fillId="0" borderId="0" xfId="37" applyFont="1" applyProtection="1">
      <protection hidden="1"/>
    </xf>
    <xf numFmtId="173" fontId="40" fillId="0" borderId="0" xfId="37" applyNumberFormat="1" applyFont="1" applyProtection="1">
      <protection hidden="1"/>
    </xf>
    <xf numFmtId="174" fontId="41" fillId="0" borderId="0" xfId="0" applyNumberFormat="1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37" fontId="35" fillId="0" borderId="0" xfId="37" applyFont="1" applyAlignment="1" applyProtection="1">
      <alignment horizontal="center" vertical="center" wrapText="1"/>
      <protection hidden="1"/>
    </xf>
    <xf numFmtId="3" fontId="34" fillId="0" borderId="20" xfId="0" applyNumberFormat="1" applyFont="1" applyBorder="1" applyProtection="1">
      <protection hidden="1"/>
    </xf>
    <xf numFmtId="173" fontId="10" fillId="0" borderId="20" xfId="40" applyNumberFormat="1" applyFont="1" applyFill="1" applyBorder="1" applyProtection="1">
      <protection hidden="1"/>
    </xf>
    <xf numFmtId="165" fontId="10" fillId="0" borderId="20" xfId="33" applyNumberFormat="1" applyFont="1" applyFill="1" applyBorder="1" applyProtection="1">
      <protection hidden="1"/>
    </xf>
    <xf numFmtId="173" fontId="10" fillId="0" borderId="25" xfId="40" applyNumberFormat="1" applyFont="1" applyFill="1" applyBorder="1" applyProtection="1">
      <protection hidden="1"/>
    </xf>
    <xf numFmtId="170" fontId="10" fillId="0" borderId="20" xfId="33" applyNumberFormat="1" applyFont="1" applyFill="1" applyBorder="1" applyProtection="1">
      <protection hidden="1"/>
    </xf>
    <xf numFmtId="165" fontId="10" fillId="0" borderId="25" xfId="33" applyNumberFormat="1" applyFont="1" applyFill="1" applyBorder="1" applyProtection="1">
      <protection hidden="1"/>
    </xf>
    <xf numFmtId="37" fontId="10" fillId="0" borderId="11" xfId="37" applyFont="1" applyBorder="1" applyProtection="1">
      <protection hidden="1"/>
    </xf>
    <xf numFmtId="37" fontId="10" fillId="0" borderId="20" xfId="37" applyFont="1" applyBorder="1" applyProtection="1">
      <protection hidden="1"/>
    </xf>
    <xf numFmtId="174" fontId="10" fillId="0" borderId="21" xfId="40" applyNumberFormat="1" applyFont="1" applyBorder="1" applyProtection="1">
      <protection hidden="1"/>
    </xf>
    <xf numFmtId="3" fontId="34" fillId="0" borderId="22" xfId="0" applyNumberFormat="1" applyFont="1" applyBorder="1" applyProtection="1">
      <protection hidden="1"/>
    </xf>
    <xf numFmtId="173" fontId="10" fillId="0" borderId="22" xfId="40" applyNumberFormat="1" applyFont="1" applyFill="1" applyBorder="1" applyProtection="1">
      <protection hidden="1"/>
    </xf>
    <xf numFmtId="165" fontId="10" fillId="0" borderId="22" xfId="33" applyNumberFormat="1" applyFont="1" applyFill="1" applyBorder="1" applyProtection="1">
      <protection hidden="1"/>
    </xf>
    <xf numFmtId="173" fontId="10" fillId="0" borderId="26" xfId="40" applyNumberFormat="1" applyFont="1" applyFill="1" applyBorder="1" applyProtection="1">
      <protection hidden="1"/>
    </xf>
    <xf numFmtId="170" fontId="10" fillId="0" borderId="22" xfId="33" applyNumberFormat="1" applyFont="1" applyFill="1" applyBorder="1" applyProtection="1">
      <protection hidden="1"/>
    </xf>
    <xf numFmtId="165" fontId="10" fillId="0" borderId="26" xfId="33" applyNumberFormat="1" applyFont="1" applyFill="1" applyBorder="1" applyProtection="1">
      <protection hidden="1"/>
    </xf>
    <xf numFmtId="37" fontId="10" fillId="0" borderId="12" xfId="37" applyFont="1" applyBorder="1" applyProtection="1">
      <protection hidden="1"/>
    </xf>
    <xf numFmtId="37" fontId="10" fillId="0" borderId="22" xfId="37" applyFont="1" applyBorder="1" applyProtection="1">
      <protection hidden="1"/>
    </xf>
    <xf numFmtId="174" fontId="10" fillId="0" borderId="19" xfId="40" applyNumberFormat="1" applyFont="1" applyBorder="1" applyProtection="1">
      <protection hidden="1"/>
    </xf>
    <xf numFmtId="3" fontId="36" fillId="0" borderId="14" xfId="0" applyNumberFormat="1" applyFont="1" applyBorder="1" applyProtection="1">
      <protection hidden="1"/>
    </xf>
    <xf numFmtId="173" fontId="14" fillId="0" borderId="14" xfId="40" applyNumberFormat="1" applyFont="1" applyFill="1" applyBorder="1" applyProtection="1">
      <protection hidden="1"/>
    </xf>
    <xf numFmtId="165" fontId="14" fillId="0" borderId="14" xfId="33" applyNumberFormat="1" applyFont="1" applyFill="1" applyBorder="1" applyProtection="1">
      <protection hidden="1"/>
    </xf>
    <xf numFmtId="173" fontId="14" fillId="0" borderId="24" xfId="40" applyNumberFormat="1" applyFont="1" applyFill="1" applyBorder="1" applyProtection="1">
      <protection hidden="1"/>
    </xf>
    <xf numFmtId="170" fontId="14" fillId="0" borderId="14" xfId="33" applyNumberFormat="1" applyFont="1" applyFill="1" applyBorder="1" applyProtection="1">
      <protection hidden="1"/>
    </xf>
    <xf numFmtId="165" fontId="14" fillId="0" borderId="24" xfId="40" applyNumberFormat="1" applyFont="1" applyFill="1" applyBorder="1" applyProtection="1">
      <protection hidden="1"/>
    </xf>
    <xf numFmtId="37" fontId="14" fillId="0" borderId="13" xfId="37" applyFont="1" applyBorder="1" applyProtection="1">
      <protection hidden="1"/>
    </xf>
    <xf numFmtId="37" fontId="14" fillId="0" borderId="14" xfId="37" applyFont="1" applyBorder="1" applyProtection="1">
      <protection hidden="1"/>
    </xf>
    <xf numFmtId="174" fontId="14" fillId="0" borderId="15" xfId="40" applyNumberFormat="1" applyFont="1" applyBorder="1" applyProtection="1">
      <protection hidden="1"/>
    </xf>
    <xf numFmtId="173" fontId="10" fillId="0" borderId="0" xfId="37" applyNumberFormat="1" applyFont="1" applyProtection="1">
      <protection hidden="1"/>
    </xf>
    <xf numFmtId="39" fontId="10" fillId="0" borderId="0" xfId="37" applyNumberFormat="1" applyFont="1" applyProtection="1">
      <protection hidden="1"/>
    </xf>
    <xf numFmtId="174" fontId="10" fillId="0" borderId="0" xfId="37" applyNumberFormat="1" applyFont="1" applyProtection="1">
      <protection hidden="1"/>
    </xf>
    <xf numFmtId="166" fontId="10" fillId="0" borderId="0" xfId="40" applyNumberFormat="1" applyFont="1" applyProtection="1">
      <protection hidden="1"/>
    </xf>
    <xf numFmtId="166" fontId="10" fillId="0" borderId="0" xfId="40" applyNumberFormat="1" applyFont="1" applyFill="1" applyProtection="1">
      <protection hidden="1"/>
    </xf>
    <xf numFmtId="39" fontId="14" fillId="0" borderId="10" xfId="37" applyNumberFormat="1" applyFont="1" applyBorder="1" applyAlignment="1" applyProtection="1">
      <alignment horizontal="center" vertical="center" wrapText="1"/>
      <protection hidden="1"/>
    </xf>
    <xf numFmtId="37" fontId="37" fillId="0" borderId="0" xfId="37" applyFont="1" applyAlignment="1" applyProtection="1">
      <alignment horizontal="center" vertical="center" wrapText="1"/>
      <protection hidden="1"/>
    </xf>
    <xf numFmtId="39" fontId="35" fillId="0" borderId="0" xfId="37" applyNumberFormat="1" applyFont="1" applyAlignment="1" applyProtection="1">
      <alignment horizontal="center" vertical="center" wrapText="1"/>
      <protection hidden="1"/>
    </xf>
    <xf numFmtId="174" fontId="40" fillId="0" borderId="0" xfId="37" applyNumberFormat="1" applyFont="1" applyProtection="1">
      <protection hidden="1"/>
    </xf>
    <xf numFmtId="39" fontId="40" fillId="0" borderId="0" xfId="37" applyNumberFormat="1" applyFont="1" applyAlignment="1" applyProtection="1">
      <alignment horizontal="center" vertical="center" wrapText="1"/>
      <protection hidden="1"/>
    </xf>
    <xf numFmtId="174" fontId="40" fillId="0" borderId="0" xfId="37" applyNumberFormat="1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/>
      <protection hidden="1"/>
    </xf>
    <xf numFmtId="37" fontId="10" fillId="0" borderId="0" xfId="37" applyFont="1" applyAlignment="1" applyProtection="1">
      <alignment wrapText="1"/>
      <protection hidden="1"/>
    </xf>
    <xf numFmtId="37" fontId="48" fillId="0" borderId="0" xfId="37" applyFont="1" applyProtection="1">
      <protection hidden="1"/>
    </xf>
    <xf numFmtId="173" fontId="35" fillId="0" borderId="0" xfId="0" applyNumberFormat="1" applyFont="1" applyAlignment="1" applyProtection="1">
      <alignment horizontal="center" vertical="center" wrapText="1"/>
      <protection hidden="1"/>
    </xf>
    <xf numFmtId="174" fontId="37" fillId="0" borderId="0" xfId="39" applyNumberFormat="1" applyFont="1" applyFill="1" applyBorder="1" applyAlignment="1" applyProtection="1">
      <alignment horizontal="center" vertical="center" wrapText="1"/>
      <protection hidden="1"/>
    </xf>
    <xf numFmtId="174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5" fillId="0" borderId="0" xfId="0" applyNumberFormat="1" applyFont="1" applyAlignment="1" applyProtection="1">
      <alignment horizontal="center" vertical="center" wrapText="1"/>
      <protection hidden="1"/>
    </xf>
    <xf numFmtId="168" fontId="35" fillId="0" borderId="0" xfId="39" applyFont="1" applyFill="1" applyBorder="1" applyAlignment="1" applyProtection="1">
      <alignment horizontal="center" vertical="center" wrapText="1"/>
      <protection hidden="1"/>
    </xf>
    <xf numFmtId="175" fontId="10" fillId="0" borderId="20" xfId="40" applyNumberFormat="1" applyFont="1" applyFill="1" applyBorder="1" applyProtection="1">
      <protection hidden="1"/>
    </xf>
    <xf numFmtId="175" fontId="10" fillId="0" borderId="22" xfId="40" applyNumberFormat="1" applyFont="1" applyFill="1" applyBorder="1" applyProtection="1">
      <protection hidden="1"/>
    </xf>
    <xf numFmtId="175" fontId="14" fillId="0" borderId="14" xfId="40" applyNumberFormat="1" applyFont="1" applyFill="1" applyBorder="1" applyProtection="1">
      <protection hidden="1"/>
    </xf>
    <xf numFmtId="176" fontId="10" fillId="0" borderId="20" xfId="40" applyNumberFormat="1" applyFont="1" applyFill="1" applyBorder="1" applyProtection="1">
      <protection hidden="1"/>
    </xf>
    <xf numFmtId="176" fontId="10" fillId="0" borderId="22" xfId="40" applyNumberFormat="1" applyFont="1" applyFill="1" applyBorder="1" applyProtection="1">
      <protection hidden="1"/>
    </xf>
    <xf numFmtId="176" fontId="14" fillId="0" borderId="14" xfId="40" applyNumberFormat="1" applyFont="1" applyFill="1" applyBorder="1" applyProtection="1">
      <protection hidden="1"/>
    </xf>
    <xf numFmtId="174" fontId="35" fillId="0" borderId="0" xfId="0" applyNumberFormat="1" applyFont="1" applyAlignment="1" applyProtection="1">
      <alignment horizontal="center" vertical="center" wrapText="1"/>
      <protection hidden="1"/>
    </xf>
    <xf numFmtId="174" fontId="43" fillId="0" borderId="0" xfId="37" applyNumberFormat="1" applyFont="1" applyAlignment="1" applyProtection="1">
      <alignment horizontal="center" vertical="center"/>
      <protection hidden="1"/>
    </xf>
    <xf numFmtId="174" fontId="42" fillId="0" borderId="10" xfId="0" applyNumberFormat="1" applyFont="1" applyBorder="1" applyAlignment="1" applyProtection="1">
      <alignment horizontal="center" vertical="center" wrapText="1"/>
      <protection hidden="1"/>
    </xf>
    <xf numFmtId="174" fontId="10" fillId="0" borderId="21" xfId="40" applyNumberFormat="1" applyFont="1" applyFill="1" applyBorder="1" applyProtection="1">
      <protection hidden="1"/>
    </xf>
    <xf numFmtId="174" fontId="10" fillId="0" borderId="19" xfId="40" applyNumberFormat="1" applyFont="1" applyFill="1" applyBorder="1" applyProtection="1">
      <protection hidden="1"/>
    </xf>
    <xf numFmtId="174" fontId="14" fillId="0" borderId="15" xfId="40" applyNumberFormat="1" applyFont="1" applyFill="1" applyBorder="1" applyProtection="1">
      <protection hidden="1"/>
    </xf>
    <xf numFmtId="37" fontId="44" fillId="0" borderId="0" xfId="37" applyFont="1" applyProtection="1"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165" fontId="36" fillId="0" borderId="14" xfId="33" applyNumberFormat="1" applyFont="1" applyFill="1" applyBorder="1" applyProtection="1"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0" fillId="0" borderId="27" xfId="0" applyBorder="1"/>
    <xf numFmtId="174" fontId="14" fillId="0" borderId="28" xfId="0" applyNumberFormat="1" applyFont="1" applyBorder="1" applyAlignment="1" applyProtection="1">
      <alignment horizontal="center" vertical="center" wrapText="1"/>
      <protection hidden="1"/>
    </xf>
    <xf numFmtId="174" fontId="35" fillId="0" borderId="0" xfId="37" applyNumberFormat="1" applyFont="1" applyProtection="1">
      <protection hidden="1"/>
    </xf>
    <xf numFmtId="174" fontId="35" fillId="0" borderId="0" xfId="37" applyNumberFormat="1" applyFont="1" applyAlignment="1" applyProtection="1">
      <alignment horizontal="center" vertical="center" wrapText="1"/>
      <protection hidden="1"/>
    </xf>
    <xf numFmtId="174" fontId="10" fillId="0" borderId="16" xfId="33" applyNumberFormat="1" applyFont="1" applyFill="1" applyBorder="1" applyProtection="1">
      <protection hidden="1"/>
    </xf>
    <xf numFmtId="174" fontId="10" fillId="0" borderId="21" xfId="37" applyNumberFormat="1" applyFont="1" applyBorder="1" applyProtection="1">
      <protection hidden="1"/>
    </xf>
    <xf numFmtId="174" fontId="10" fillId="0" borderId="17" xfId="33" applyNumberFormat="1" applyFont="1" applyFill="1" applyBorder="1" applyProtection="1">
      <protection hidden="1"/>
    </xf>
    <xf numFmtId="174" fontId="10" fillId="0" borderId="19" xfId="37" applyNumberFormat="1" applyFont="1" applyBorder="1" applyProtection="1">
      <protection hidden="1"/>
    </xf>
    <xf numFmtId="174" fontId="14" fillId="0" borderId="18" xfId="40" applyNumberFormat="1" applyFont="1" applyFill="1" applyBorder="1" applyProtection="1">
      <protection hidden="1"/>
    </xf>
    <xf numFmtId="174" fontId="14" fillId="0" borderId="15" xfId="37" applyNumberFormat="1" applyFont="1" applyBorder="1" applyProtection="1">
      <protection hidden="1"/>
    </xf>
    <xf numFmtId="0" fontId="10" fillId="0" borderId="0" xfId="53"/>
    <xf numFmtId="0" fontId="10" fillId="0" borderId="0" xfId="53" applyAlignment="1">
      <alignment vertical="center"/>
    </xf>
    <xf numFmtId="3" fontId="10" fillId="0" borderId="0" xfId="53" applyNumberFormat="1" applyAlignment="1">
      <alignment horizontal="center" vertical="center"/>
    </xf>
    <xf numFmtId="0" fontId="10" fillId="0" borderId="0" xfId="53" applyAlignment="1">
      <alignment horizontal="center" vertical="center"/>
    </xf>
    <xf numFmtId="182" fontId="0" fillId="0" borderId="0" xfId="51" applyNumberFormat="1" applyFont="1"/>
    <xf numFmtId="182" fontId="10" fillId="0" borderId="0" xfId="51" applyNumberFormat="1" applyFont="1"/>
    <xf numFmtId="37" fontId="51" fillId="0" borderId="0" xfId="37" applyFont="1" applyAlignment="1" applyProtection="1">
      <alignment horizontal="center" vertical="center" wrapText="1"/>
      <protection hidden="1"/>
    </xf>
    <xf numFmtId="37" fontId="14" fillId="0" borderId="0" xfId="37" applyFont="1" applyProtection="1">
      <protection hidden="1"/>
    </xf>
    <xf numFmtId="171" fontId="10" fillId="0" borderId="0" xfId="40" applyNumberFormat="1" applyFont="1" applyProtection="1">
      <protection hidden="1"/>
    </xf>
    <xf numFmtId="164" fontId="10" fillId="0" borderId="0" xfId="33" applyFont="1" applyBorder="1" applyProtection="1">
      <protection hidden="1"/>
    </xf>
    <xf numFmtId="179" fontId="10" fillId="0" borderId="0" xfId="40" applyNumberFormat="1" applyFont="1" applyProtection="1">
      <protection hidden="1"/>
    </xf>
    <xf numFmtId="178" fontId="10" fillId="0" borderId="0" xfId="37" applyNumberFormat="1" applyFont="1" applyProtection="1">
      <protection hidden="1"/>
    </xf>
    <xf numFmtId="177" fontId="10" fillId="0" borderId="0" xfId="37" applyNumberFormat="1" applyFont="1" applyProtection="1">
      <protection hidden="1"/>
    </xf>
    <xf numFmtId="37" fontId="10" fillId="0" borderId="23" xfId="37" applyFont="1" applyBorder="1" applyProtection="1">
      <protection hidden="1"/>
    </xf>
    <xf numFmtId="0" fontId="10" fillId="24" borderId="0" xfId="106" applyFill="1"/>
    <xf numFmtId="182" fontId="0" fillId="24" borderId="0" xfId="51" applyNumberFormat="1" applyFont="1" applyFill="1"/>
    <xf numFmtId="183" fontId="14" fillId="24" borderId="36" xfId="106" applyNumberFormat="1" applyFont="1" applyFill="1" applyBorder="1"/>
    <xf numFmtId="182" fontId="14" fillId="24" borderId="37" xfId="51" applyNumberFormat="1" applyFont="1" applyFill="1" applyBorder="1"/>
    <xf numFmtId="182" fontId="14" fillId="24" borderId="38" xfId="106" applyNumberFormat="1" applyFont="1" applyFill="1" applyBorder="1"/>
    <xf numFmtId="182" fontId="14" fillId="24" borderId="39" xfId="106" applyNumberFormat="1" applyFont="1" applyFill="1" applyBorder="1"/>
    <xf numFmtId="182" fontId="14" fillId="24" borderId="40" xfId="106" applyNumberFormat="1" applyFont="1" applyFill="1" applyBorder="1"/>
    <xf numFmtId="0" fontId="14" fillId="24" borderId="41" xfId="106" applyFont="1" applyFill="1" applyBorder="1"/>
    <xf numFmtId="184" fontId="14" fillId="24" borderId="37" xfId="106" applyNumberFormat="1" applyFont="1" applyFill="1" applyBorder="1"/>
    <xf numFmtId="185" fontId="14" fillId="24" borderId="39" xfId="51" applyNumberFormat="1" applyFont="1" applyFill="1" applyBorder="1"/>
    <xf numFmtId="185" fontId="14" fillId="24" borderId="39" xfId="106" applyNumberFormat="1" applyFont="1" applyFill="1" applyBorder="1"/>
    <xf numFmtId="185" fontId="14" fillId="24" borderId="38" xfId="51" applyNumberFormat="1" applyFont="1" applyFill="1" applyBorder="1"/>
    <xf numFmtId="185" fontId="14" fillId="24" borderId="39" xfId="107" applyNumberFormat="1" applyFont="1" applyFill="1" applyBorder="1"/>
    <xf numFmtId="182" fontId="14" fillId="24" borderId="39" xfId="51" applyNumberFormat="1" applyFont="1" applyFill="1" applyBorder="1"/>
    <xf numFmtId="182" fontId="14" fillId="24" borderId="40" xfId="51" applyNumberFormat="1" applyFont="1" applyFill="1" applyBorder="1"/>
    <xf numFmtId="183" fontId="10" fillId="24" borderId="35" xfId="106" applyNumberFormat="1" applyFill="1" applyBorder="1"/>
    <xf numFmtId="41" fontId="10" fillId="24" borderId="42" xfId="106" applyNumberFormat="1" applyFill="1" applyBorder="1"/>
    <xf numFmtId="182" fontId="0" fillId="24" borderId="43" xfId="51" applyNumberFormat="1" applyFont="1" applyFill="1" applyBorder="1"/>
    <xf numFmtId="182" fontId="0" fillId="24" borderId="0" xfId="51" applyNumberFormat="1" applyFont="1" applyFill="1" applyBorder="1"/>
    <xf numFmtId="182" fontId="0" fillId="24" borderId="44" xfId="51" applyNumberFormat="1" applyFont="1" applyFill="1" applyBorder="1"/>
    <xf numFmtId="0" fontId="14" fillId="24" borderId="34" xfId="106" applyFont="1" applyFill="1" applyBorder="1"/>
    <xf numFmtId="184" fontId="10" fillId="24" borderId="42" xfId="106" applyNumberFormat="1" applyFill="1" applyBorder="1"/>
    <xf numFmtId="185" fontId="0" fillId="24" borderId="0" xfId="51" applyNumberFormat="1" applyFont="1" applyFill="1" applyBorder="1"/>
    <xf numFmtId="185" fontId="0" fillId="24" borderId="43" xfId="51" applyNumberFormat="1" applyFont="1" applyFill="1" applyBorder="1"/>
    <xf numFmtId="185" fontId="0" fillId="24" borderId="0" xfId="107" applyNumberFormat="1" applyFont="1" applyFill="1" applyBorder="1"/>
    <xf numFmtId="183" fontId="10" fillId="24" borderId="45" xfId="106" applyNumberFormat="1" applyFill="1" applyBorder="1"/>
    <xf numFmtId="41" fontId="0" fillId="24" borderId="46" xfId="51" applyNumberFormat="1" applyFont="1" applyFill="1" applyBorder="1"/>
    <xf numFmtId="182" fontId="0" fillId="24" borderId="47" xfId="51" applyNumberFormat="1" applyFont="1" applyFill="1" applyBorder="1"/>
    <xf numFmtId="182" fontId="0" fillId="24" borderId="48" xfId="51" applyNumberFormat="1" applyFont="1" applyFill="1" applyBorder="1"/>
    <xf numFmtId="182" fontId="0" fillId="24" borderId="49" xfId="51" applyNumberFormat="1" applyFont="1" applyFill="1" applyBorder="1"/>
    <xf numFmtId="0" fontId="14" fillId="24" borderId="50" xfId="106" applyFont="1" applyFill="1" applyBorder="1"/>
    <xf numFmtId="184" fontId="10" fillId="24" borderId="46" xfId="106" applyNumberFormat="1" applyFill="1" applyBorder="1"/>
    <xf numFmtId="185" fontId="0" fillId="24" borderId="48" xfId="51" applyNumberFormat="1" applyFont="1" applyFill="1" applyBorder="1"/>
    <xf numFmtId="185" fontId="0" fillId="24" borderId="47" xfId="51" applyNumberFormat="1" applyFont="1" applyFill="1" applyBorder="1"/>
    <xf numFmtId="185" fontId="0" fillId="24" borderId="48" xfId="107" applyNumberFormat="1" applyFont="1" applyFill="1" applyBorder="1"/>
    <xf numFmtId="0" fontId="14" fillId="24" borderId="0" xfId="106" applyFont="1" applyFill="1"/>
    <xf numFmtId="0" fontId="14" fillId="0" borderId="0" xfId="106" applyFont="1"/>
    <xf numFmtId="0" fontId="35" fillId="24" borderId="0" xfId="106" applyFont="1" applyFill="1" applyAlignment="1">
      <alignment horizontal="center" vertical="center" wrapText="1"/>
    </xf>
    <xf numFmtId="0" fontId="14" fillId="24" borderId="33" xfId="106" applyFont="1" applyFill="1" applyBorder="1" applyAlignment="1">
      <alignment horizontal="center" vertical="center" wrapText="1"/>
    </xf>
    <xf numFmtId="0" fontId="14" fillId="24" borderId="51" xfId="106" applyFont="1" applyFill="1" applyBorder="1" applyAlignment="1">
      <alignment horizontal="center" vertical="center" wrapText="1"/>
    </xf>
    <xf numFmtId="0" fontId="14" fillId="24" borderId="52" xfId="106" applyFont="1" applyFill="1" applyBorder="1" applyAlignment="1">
      <alignment horizontal="center" vertical="center" wrapText="1"/>
    </xf>
    <xf numFmtId="0" fontId="14" fillId="24" borderId="32" xfId="106" applyFont="1" applyFill="1" applyBorder="1" applyAlignment="1">
      <alignment horizontal="center" vertical="center" wrapText="1"/>
    </xf>
    <xf numFmtId="0" fontId="14" fillId="24" borderId="53" xfId="106" applyFont="1" applyFill="1" applyBorder="1" applyAlignment="1">
      <alignment horizontal="center" vertical="center" wrapText="1"/>
    </xf>
    <xf numFmtId="0" fontId="14" fillId="24" borderId="31" xfId="106" applyFont="1" applyFill="1" applyBorder="1" applyAlignment="1">
      <alignment horizontal="center" vertical="center"/>
    </xf>
    <xf numFmtId="0" fontId="14" fillId="24" borderId="0" xfId="106" applyFont="1" applyFill="1" applyAlignment="1">
      <alignment horizontal="center" vertical="center" wrapText="1"/>
    </xf>
    <xf numFmtId="0" fontId="10" fillId="0" borderId="55" xfId="53" applyBorder="1" applyAlignment="1">
      <alignment vertical="center" wrapText="1"/>
    </xf>
    <xf numFmtId="43" fontId="10" fillId="0" borderId="0" xfId="53" applyNumberFormat="1"/>
    <xf numFmtId="43" fontId="0" fillId="0" borderId="0" xfId="51" applyFont="1"/>
    <xf numFmtId="0" fontId="14" fillId="0" borderId="55" xfId="53" applyFont="1" applyBorder="1" applyAlignment="1">
      <alignment horizontal="center" vertical="center" wrapText="1"/>
    </xf>
    <xf numFmtId="0" fontId="14" fillId="0" borderId="55" xfId="53" applyFont="1" applyBorder="1" applyAlignment="1">
      <alignment horizontal="center" vertical="center"/>
    </xf>
    <xf numFmtId="186" fontId="10" fillId="24" borderId="48" xfId="106" applyNumberFormat="1" applyFill="1" applyBorder="1"/>
    <xf numFmtId="186" fontId="10" fillId="24" borderId="0" xfId="106" applyNumberFormat="1" applyFill="1"/>
    <xf numFmtId="174" fontId="42" fillId="0" borderId="0" xfId="0" applyNumberFormat="1" applyFont="1" applyAlignment="1" applyProtection="1">
      <alignment horizontal="center" vertical="center" wrapText="1"/>
      <protection hidden="1"/>
    </xf>
    <xf numFmtId="174" fontId="10" fillId="0" borderId="56" xfId="33" applyNumberFormat="1" applyFont="1" applyFill="1" applyBorder="1" applyProtection="1">
      <protection hidden="1"/>
    </xf>
    <xf numFmtId="174" fontId="14" fillId="0" borderId="56" xfId="40" applyNumberFormat="1" applyFont="1" applyFill="1" applyBorder="1" applyProtection="1">
      <protection hidden="1"/>
    </xf>
    <xf numFmtId="165" fontId="10" fillId="0" borderId="0" xfId="33" applyNumberFormat="1"/>
    <xf numFmtId="188" fontId="10" fillId="0" borderId="0" xfId="53" applyNumberFormat="1"/>
    <xf numFmtId="188" fontId="10" fillId="0" borderId="0" xfId="33" applyNumberFormat="1"/>
    <xf numFmtId="176" fontId="10" fillId="0" borderId="0" xfId="53" applyNumberFormat="1"/>
    <xf numFmtId="176" fontId="10" fillId="0" borderId="0" xfId="33" applyNumberFormat="1"/>
    <xf numFmtId="10" fontId="10" fillId="0" borderId="0" xfId="40" applyNumberFormat="1" applyFont="1" applyAlignment="1" applyProtection="1">
      <alignment horizontal="center"/>
      <protection hidden="1"/>
    </xf>
    <xf numFmtId="187" fontId="0" fillId="0" borderId="0" xfId="51" applyNumberFormat="1" applyFont="1" applyFill="1" applyBorder="1"/>
    <xf numFmtId="0" fontId="14" fillId="0" borderId="50" xfId="106" applyFont="1" applyBorder="1"/>
    <xf numFmtId="0" fontId="14" fillId="0" borderId="34" xfId="106" applyFont="1" applyBorder="1"/>
    <xf numFmtId="189" fontId="10" fillId="0" borderId="0" xfId="53" applyNumberFormat="1"/>
    <xf numFmtId="189" fontId="10" fillId="0" borderId="0" xfId="51" applyNumberFormat="1" applyFont="1"/>
    <xf numFmtId="189" fontId="0" fillId="0" borderId="0" xfId="51" applyNumberFormat="1" applyFont="1"/>
    <xf numFmtId="164" fontId="10" fillId="0" borderId="0" xfId="33" applyFont="1"/>
    <xf numFmtId="164" fontId="0" fillId="0" borderId="0" xfId="33" applyFont="1"/>
    <xf numFmtId="182" fontId="0" fillId="0" borderId="0" xfId="51" applyNumberFormat="1" applyFont="1" applyFill="1" applyBorder="1"/>
    <xf numFmtId="187" fontId="0" fillId="0" borderId="0" xfId="33" applyNumberFormat="1" applyFont="1" applyFill="1" applyBorder="1"/>
    <xf numFmtId="187" fontId="10" fillId="0" borderId="55" xfId="33" applyNumberFormat="1" applyFont="1" applyFill="1" applyBorder="1" applyAlignment="1">
      <alignment vertical="center" wrapText="1"/>
    </xf>
    <xf numFmtId="187" fontId="10" fillId="0" borderId="55" xfId="53" applyNumberFormat="1" applyBorder="1" applyAlignment="1">
      <alignment horizontal="center" vertical="center" wrapText="1"/>
    </xf>
    <xf numFmtId="187" fontId="14" fillId="0" borderId="55" xfId="53" applyNumberFormat="1" applyFont="1" applyBorder="1" applyAlignment="1">
      <alignment horizontal="center" vertical="center"/>
    </xf>
    <xf numFmtId="187" fontId="14" fillId="0" borderId="55" xfId="53" applyNumberFormat="1" applyFont="1" applyBorder="1" applyAlignment="1">
      <alignment vertical="center"/>
    </xf>
    <xf numFmtId="0" fontId="43" fillId="0" borderId="27" xfId="0" applyFont="1" applyBorder="1" applyAlignment="1">
      <alignment horizontal="center"/>
    </xf>
    <xf numFmtId="37" fontId="14" fillId="24" borderId="58" xfId="37" applyFont="1" applyFill="1" applyBorder="1" applyAlignment="1" applyProtection="1">
      <alignment horizontal="center" vertical="center" wrapText="1"/>
      <protection hidden="1"/>
    </xf>
    <xf numFmtId="9" fontId="14" fillId="24" borderId="58" xfId="40" applyFont="1" applyFill="1" applyBorder="1" applyAlignment="1" applyProtection="1">
      <alignment horizontal="center" vertical="center" wrapText="1"/>
      <protection hidden="1"/>
    </xf>
    <xf numFmtId="173" fontId="14" fillId="24" borderId="58" xfId="40" applyNumberFormat="1" applyFont="1" applyFill="1" applyBorder="1" applyAlignment="1" applyProtection="1">
      <alignment horizontal="center" vertical="center" wrapText="1"/>
      <protection hidden="1"/>
    </xf>
    <xf numFmtId="173" fontId="42" fillId="0" borderId="10" xfId="0" applyNumberFormat="1" applyFont="1" applyBorder="1" applyAlignment="1" applyProtection="1">
      <alignment horizontal="center" vertical="center" wrapText="1"/>
      <protection hidden="1"/>
    </xf>
    <xf numFmtId="37" fontId="52" fillId="0" borderId="0" xfId="37" applyFont="1" applyAlignment="1" applyProtection="1">
      <alignment horizontal="center" vertical="center"/>
      <protection hidden="1"/>
    </xf>
    <xf numFmtId="37" fontId="10" fillId="0" borderId="0" xfId="37" applyFont="1" applyAlignment="1" applyProtection="1">
      <alignment horizontal="center" vertical="center" wrapText="1"/>
      <protection hidden="1"/>
    </xf>
    <xf numFmtId="173" fontId="10" fillId="0" borderId="0" xfId="37" applyNumberFormat="1" applyFont="1" applyAlignment="1" applyProtection="1">
      <alignment horizontal="center" vertical="center" wrapText="1"/>
      <protection hidden="1"/>
    </xf>
    <xf numFmtId="173" fontId="57" fillId="0" borderId="0" xfId="0" applyNumberFormat="1" applyFont="1" applyAlignment="1" applyProtection="1">
      <alignment horizontal="center" vertical="center" wrapText="1"/>
      <protection hidden="1"/>
    </xf>
    <xf numFmtId="165" fontId="34" fillId="0" borderId="20" xfId="33" applyNumberFormat="1" applyFont="1" applyBorder="1" applyProtection="1">
      <protection hidden="1"/>
    </xf>
    <xf numFmtId="170" fontId="34" fillId="0" borderId="20" xfId="33" applyNumberFormat="1" applyFont="1" applyBorder="1" applyProtection="1">
      <protection hidden="1"/>
    </xf>
    <xf numFmtId="190" fontId="34" fillId="0" borderId="20" xfId="33" applyNumberFormat="1" applyFont="1" applyBorder="1" applyProtection="1">
      <protection hidden="1"/>
    </xf>
    <xf numFmtId="172" fontId="34" fillId="0" borderId="20" xfId="33" applyNumberFormat="1" applyFont="1" applyBorder="1" applyProtection="1">
      <protection hidden="1"/>
    </xf>
    <xf numFmtId="173" fontId="10" fillId="0" borderId="21" xfId="40" applyNumberFormat="1" applyFont="1" applyFill="1" applyBorder="1" applyProtection="1">
      <protection hidden="1"/>
    </xf>
    <xf numFmtId="165" fontId="34" fillId="0" borderId="22" xfId="33" applyNumberFormat="1" applyFont="1" applyBorder="1" applyProtection="1">
      <protection hidden="1"/>
    </xf>
    <xf numFmtId="170" fontId="34" fillId="0" borderId="22" xfId="33" applyNumberFormat="1" applyFont="1" applyBorder="1" applyProtection="1">
      <protection hidden="1"/>
    </xf>
    <xf numFmtId="190" fontId="34" fillId="0" borderId="22" xfId="33" applyNumberFormat="1" applyFont="1" applyBorder="1" applyProtection="1">
      <protection hidden="1"/>
    </xf>
    <xf numFmtId="172" fontId="34" fillId="0" borderId="22" xfId="33" applyNumberFormat="1" applyFont="1" applyBorder="1" applyProtection="1">
      <protection hidden="1"/>
    </xf>
    <xf numFmtId="173" fontId="10" fillId="0" borderId="19" xfId="40" applyNumberFormat="1" applyFont="1" applyFill="1" applyBorder="1" applyProtection="1">
      <protection hidden="1"/>
    </xf>
    <xf numFmtId="165" fontId="14" fillId="0" borderId="13" xfId="33" applyNumberFormat="1" applyFont="1" applyFill="1" applyBorder="1" applyAlignment="1" applyProtection="1">
      <protection hidden="1"/>
    </xf>
    <xf numFmtId="165" fontId="14" fillId="0" borderId="14" xfId="33" applyNumberFormat="1" applyFont="1" applyFill="1" applyBorder="1" applyAlignment="1" applyProtection="1">
      <protection hidden="1"/>
    </xf>
    <xf numFmtId="170" fontId="14" fillId="0" borderId="14" xfId="33" applyNumberFormat="1" applyFont="1" applyFill="1" applyBorder="1" applyAlignment="1" applyProtection="1">
      <protection hidden="1"/>
    </xf>
    <xf numFmtId="172" fontId="14" fillId="0" borderId="14" xfId="33" applyNumberFormat="1" applyFont="1" applyFill="1" applyBorder="1" applyAlignment="1" applyProtection="1">
      <protection hidden="1"/>
    </xf>
    <xf numFmtId="165" fontId="14" fillId="0" borderId="15" xfId="33" applyNumberFormat="1" applyFont="1" applyFill="1" applyBorder="1" applyAlignment="1" applyProtection="1">
      <protection hidden="1"/>
    </xf>
    <xf numFmtId="173" fontId="14" fillId="0" borderId="15" xfId="40" applyNumberFormat="1" applyFont="1" applyFill="1" applyBorder="1" applyProtection="1">
      <protection hidden="1"/>
    </xf>
    <xf numFmtId="173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49" fontId="4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118" applyFont="1"/>
    <xf numFmtId="182" fontId="34" fillId="0" borderId="0" xfId="119" applyNumberFormat="1" applyFont="1"/>
    <xf numFmtId="0" fontId="14" fillId="0" borderId="55" xfId="53" applyFont="1" applyBorder="1" applyAlignment="1">
      <alignment vertical="center" wrapText="1"/>
    </xf>
    <xf numFmtId="187" fontId="14" fillId="0" borderId="55" xfId="33" applyNumberFormat="1" applyFont="1" applyFill="1" applyBorder="1" applyAlignment="1">
      <alignment vertical="center" wrapText="1"/>
    </xf>
    <xf numFmtId="187" fontId="14" fillId="0" borderId="55" xfId="53" applyNumberFormat="1" applyFont="1" applyBorder="1" applyAlignment="1">
      <alignment horizontal="center" vertical="center" wrapText="1"/>
    </xf>
    <xf numFmtId="0" fontId="56" fillId="26" borderId="57" xfId="0" applyFont="1" applyFill="1" applyBorder="1" applyAlignment="1">
      <alignment horizontal="center" vertical="center" wrapText="1"/>
    </xf>
    <xf numFmtId="182" fontId="56" fillId="26" borderId="57" xfId="33" applyNumberFormat="1" applyFont="1" applyFill="1" applyBorder="1" applyAlignment="1">
      <alignment horizontal="center" vertical="center" wrapText="1"/>
    </xf>
    <xf numFmtId="182" fontId="14" fillId="0" borderId="62" xfId="51" applyNumberFormat="1" applyFont="1" applyFill="1" applyBorder="1"/>
    <xf numFmtId="187" fontId="14" fillId="0" borderId="63" xfId="51" applyNumberFormat="1" applyFont="1" applyFill="1" applyBorder="1"/>
    <xf numFmtId="182" fontId="14" fillId="0" borderId="64" xfId="51" applyNumberFormat="1" applyFont="1" applyFill="1" applyBorder="1"/>
    <xf numFmtId="43" fontId="14" fillId="0" borderId="61" xfId="51" applyFont="1" applyFill="1" applyBorder="1" applyAlignment="1">
      <alignment horizontal="center" vertical="center"/>
    </xf>
    <xf numFmtId="0" fontId="56" fillId="26" borderId="66" xfId="0" applyFont="1" applyFill="1" applyBorder="1" applyAlignment="1">
      <alignment horizontal="center" vertical="center"/>
    </xf>
    <xf numFmtId="182" fontId="35" fillId="24" borderId="0" xfId="51" applyNumberFormat="1" applyFont="1" applyFill="1" applyAlignment="1">
      <alignment horizontal="center" vertical="center"/>
    </xf>
    <xf numFmtId="0" fontId="40" fillId="24" borderId="0" xfId="106" applyFont="1" applyFill="1"/>
    <xf numFmtId="9" fontId="35" fillId="24" borderId="0" xfId="107" applyFont="1" applyFill="1" applyAlignment="1">
      <alignment horizontal="center" vertical="center"/>
    </xf>
    <xf numFmtId="0" fontId="35" fillId="24" borderId="0" xfId="106" applyFont="1" applyFill="1"/>
    <xf numFmtId="165" fontId="14" fillId="0" borderId="67" xfId="33" applyNumberFormat="1" applyFont="1" applyFill="1" applyBorder="1"/>
    <xf numFmtId="187" fontId="14" fillId="0" borderId="65" xfId="51" applyNumberFormat="1" applyFont="1" applyFill="1" applyBorder="1"/>
    <xf numFmtId="164" fontId="10" fillId="0" borderId="0" xfId="33"/>
    <xf numFmtId="187" fontId="10" fillId="0" borderId="0" xfId="53" applyNumberFormat="1"/>
    <xf numFmtId="192" fontId="10" fillId="0" borderId="0" xfId="37" applyNumberFormat="1" applyFont="1" applyProtection="1">
      <protection hidden="1"/>
    </xf>
    <xf numFmtId="193" fontId="10" fillId="0" borderId="0" xfId="37" applyNumberFormat="1" applyFont="1" applyProtection="1">
      <protection hidden="1"/>
    </xf>
    <xf numFmtId="193" fontId="35" fillId="0" borderId="0" xfId="37" applyNumberFormat="1" applyFont="1" applyProtection="1">
      <protection hidden="1"/>
    </xf>
    <xf numFmtId="193" fontId="40" fillId="0" borderId="0" xfId="37" applyNumberFormat="1" applyFont="1" applyProtection="1">
      <protection hidden="1"/>
    </xf>
    <xf numFmtId="0" fontId="36" fillId="0" borderId="68" xfId="118" applyFont="1" applyBorder="1"/>
    <xf numFmtId="182" fontId="36" fillId="0" borderId="69" xfId="119" applyNumberFormat="1" applyFont="1" applyBorder="1" applyAlignment="1">
      <alignment horizontal="center" vertical="center"/>
    </xf>
    <xf numFmtId="0" fontId="36" fillId="0" borderId="69" xfId="118" applyFont="1" applyBorder="1" applyAlignment="1">
      <alignment horizontal="center"/>
    </xf>
    <xf numFmtId="182" fontId="36" fillId="0" borderId="70" xfId="119" applyNumberFormat="1" applyFont="1" applyBorder="1" applyAlignment="1">
      <alignment horizontal="center"/>
    </xf>
    <xf numFmtId="0" fontId="34" fillId="0" borderId="62" xfId="118" applyFont="1" applyBorder="1"/>
    <xf numFmtId="182" fontId="34" fillId="0" borderId="0" xfId="119" applyNumberFormat="1" applyFont="1" applyBorder="1" applyAlignment="1">
      <alignment horizontal="center"/>
    </xf>
    <xf numFmtId="191" fontId="34" fillId="0" borderId="0" xfId="118" applyNumberFormat="1" applyFont="1" applyBorder="1" applyAlignment="1">
      <alignment horizontal="center"/>
    </xf>
    <xf numFmtId="182" fontId="34" fillId="0" borderId="63" xfId="119" applyNumberFormat="1" applyFont="1" applyBorder="1" applyAlignment="1"/>
    <xf numFmtId="191" fontId="34" fillId="0" borderId="0" xfId="118" applyNumberFormat="1" applyFont="1" applyBorder="1"/>
    <xf numFmtId="0" fontId="36" fillId="0" borderId="71" xfId="118" applyFont="1" applyBorder="1"/>
    <xf numFmtId="182" fontId="36" fillId="0" borderId="27" xfId="119" applyNumberFormat="1" applyFont="1" applyBorder="1"/>
    <xf numFmtId="191" fontId="34" fillId="0" borderId="27" xfId="118" applyNumberFormat="1" applyFont="1" applyBorder="1"/>
    <xf numFmtId="182" fontId="34" fillId="0" borderId="72" xfId="119" applyNumberFormat="1" applyFont="1" applyBorder="1"/>
    <xf numFmtId="0" fontId="34" fillId="0" borderId="0" xfId="118" applyNumberFormat="1" applyFont="1"/>
    <xf numFmtId="0" fontId="10" fillId="24" borderId="0" xfId="106" applyNumberFormat="1" applyFill="1"/>
    <xf numFmtId="165" fontId="10" fillId="27" borderId="20" xfId="33" applyNumberFormat="1" applyFont="1" applyFill="1" applyBorder="1" applyAlignment="1" applyProtection="1">
      <alignment horizontal="right"/>
      <protection hidden="1"/>
    </xf>
    <xf numFmtId="165" fontId="10" fillId="27" borderId="23" xfId="33" applyNumberFormat="1" applyFont="1" applyFill="1" applyBorder="1" applyProtection="1">
      <protection hidden="1"/>
    </xf>
    <xf numFmtId="37" fontId="14" fillId="27" borderId="14" xfId="37" applyFont="1" applyFill="1" applyBorder="1" applyAlignment="1" applyProtection="1">
      <alignment horizontal="right"/>
      <protection hidden="1"/>
    </xf>
    <xf numFmtId="37" fontId="14" fillId="0" borderId="15" xfId="37" applyFont="1" applyBorder="1" applyAlignment="1" applyProtection="1">
      <alignment horizontal="right"/>
      <protection hidden="1"/>
    </xf>
    <xf numFmtId="192" fontId="10" fillId="0" borderId="21" xfId="37" applyNumberFormat="1" applyFont="1" applyBorder="1" applyAlignment="1" applyProtection="1">
      <alignment horizontal="right"/>
      <protection hidden="1"/>
    </xf>
    <xf numFmtId="192" fontId="10" fillId="0" borderId="19" xfId="37" applyNumberFormat="1" applyFont="1" applyBorder="1" applyProtection="1">
      <protection hidden="1"/>
    </xf>
    <xf numFmtId="192" fontId="14" fillId="0" borderId="15" xfId="37" applyNumberFormat="1" applyFont="1" applyBorder="1" applyAlignment="1" applyProtection="1">
      <alignment horizontal="right"/>
      <protection hidden="1"/>
    </xf>
    <xf numFmtId="37" fontId="10" fillId="0" borderId="21" xfId="37" applyFont="1" applyBorder="1" applyAlignment="1" applyProtection="1">
      <alignment horizontal="right"/>
      <protection hidden="1"/>
    </xf>
    <xf numFmtId="37" fontId="10" fillId="0" borderId="19" xfId="37" applyFont="1" applyBorder="1" applyAlignment="1" applyProtection="1">
      <alignment horizontal="right"/>
      <protection hidden="1"/>
    </xf>
    <xf numFmtId="187" fontId="10" fillId="0" borderId="55" xfId="53" applyNumberFormat="1" applyBorder="1" applyAlignment="1">
      <alignment vertical="center" wrapText="1"/>
    </xf>
    <xf numFmtId="187" fontId="14" fillId="0" borderId="55" xfId="53" applyNumberFormat="1" applyFont="1" applyBorder="1" applyAlignment="1">
      <alignment vertical="center" wrapText="1"/>
    </xf>
    <xf numFmtId="187" fontId="10" fillId="0" borderId="55" xfId="33" applyNumberFormat="1" applyBorder="1" applyAlignment="1">
      <alignment vertical="center" wrapText="1"/>
    </xf>
    <xf numFmtId="0" fontId="1" fillId="0" borderId="0" xfId="146"/>
    <xf numFmtId="182" fontId="56" fillId="26" borderId="78" xfId="147" applyNumberFormat="1" applyFont="1" applyFill="1" applyBorder="1" applyAlignment="1">
      <alignment horizontal="right" vertical="top"/>
    </xf>
    <xf numFmtId="182" fontId="56" fillId="26" borderId="79" xfId="147" applyNumberFormat="1" applyFont="1" applyFill="1" applyBorder="1" applyAlignment="1">
      <alignment horizontal="left" vertical="top"/>
    </xf>
    <xf numFmtId="187" fontId="59" fillId="0" borderId="80" xfId="146" applyNumberFormat="1" applyFont="1" applyBorder="1" applyAlignment="1">
      <alignment horizontal="right" vertical="top" wrapText="1"/>
    </xf>
    <xf numFmtId="182" fontId="60" fillId="26" borderId="80" xfId="147" applyNumberFormat="1" applyFont="1" applyFill="1" applyBorder="1" applyAlignment="1">
      <alignment horizontal="right" vertical="top"/>
    </xf>
    <xf numFmtId="182" fontId="60" fillId="26" borderId="81" xfId="147" applyNumberFormat="1" applyFont="1" applyFill="1" applyBorder="1" applyAlignment="1">
      <alignment horizontal="left" vertical="top"/>
    </xf>
    <xf numFmtId="182" fontId="60" fillId="26" borderId="55" xfId="147" applyNumberFormat="1" applyFont="1" applyFill="1" applyBorder="1" applyAlignment="1">
      <alignment horizontal="left" vertical="top"/>
    </xf>
    <xf numFmtId="182" fontId="60" fillId="26" borderId="80" xfId="147" applyNumberFormat="1" applyFont="1" applyFill="1" applyBorder="1" applyAlignment="1">
      <alignment horizontal="left" vertical="top"/>
    </xf>
    <xf numFmtId="0" fontId="36" fillId="0" borderId="78" xfId="146" applyFont="1" applyBorder="1" applyAlignment="1">
      <alignment horizontal="center" vertical="center" wrapText="1"/>
    </xf>
    <xf numFmtId="0" fontId="36" fillId="0" borderId="82" xfId="146" applyFont="1" applyBorder="1" applyAlignment="1">
      <alignment horizontal="center" vertical="center" wrapText="1"/>
    </xf>
    <xf numFmtId="0" fontId="36" fillId="0" borderId="79" xfId="146" applyFont="1" applyBorder="1" applyAlignment="1">
      <alignment horizontal="center" vertical="center" wrapText="1"/>
    </xf>
    <xf numFmtId="187" fontId="1" fillId="0" borderId="0" xfId="146" applyNumberFormat="1"/>
    <xf numFmtId="182" fontId="60" fillId="26" borderId="0" xfId="147" applyNumberFormat="1" applyFont="1" applyFill="1" applyBorder="1" applyAlignment="1">
      <alignment horizontal="left" vertical="top"/>
    </xf>
    <xf numFmtId="187" fontId="56" fillId="26" borderId="82" xfId="147" applyNumberFormat="1" applyFont="1" applyFill="1" applyBorder="1" applyAlignment="1">
      <alignment horizontal="right" vertical="top"/>
    </xf>
    <xf numFmtId="182" fontId="56" fillId="26" borderId="82" xfId="147" applyNumberFormat="1" applyFont="1" applyFill="1" applyBorder="1" applyAlignment="1">
      <alignment horizontal="right" vertical="top"/>
    </xf>
    <xf numFmtId="187" fontId="60" fillId="26" borderId="83" xfId="147" applyNumberFormat="1" applyFont="1" applyFill="1" applyBorder="1" applyAlignment="1">
      <alignment horizontal="right" vertical="top"/>
    </xf>
    <xf numFmtId="187" fontId="60" fillId="26" borderId="84" xfId="147" applyNumberFormat="1" applyFont="1" applyFill="1" applyBorder="1" applyAlignment="1">
      <alignment horizontal="right" vertical="top"/>
    </xf>
    <xf numFmtId="182" fontId="60" fillId="26" borderId="85" xfId="147" applyNumberFormat="1" applyFont="1" applyFill="1" applyBorder="1" applyAlignment="1">
      <alignment horizontal="left" vertical="top"/>
    </xf>
    <xf numFmtId="187" fontId="60" fillId="26" borderId="86" xfId="147" applyNumberFormat="1" applyFont="1" applyFill="1" applyBorder="1" applyAlignment="1">
      <alignment horizontal="right" vertical="top"/>
    </xf>
    <xf numFmtId="187" fontId="60" fillId="26" borderId="22" xfId="147" applyNumberFormat="1" applyFont="1" applyFill="1" applyBorder="1" applyAlignment="1">
      <alignment horizontal="right" vertical="top"/>
    </xf>
    <xf numFmtId="182" fontId="60" fillId="26" borderId="87" xfId="147" applyNumberFormat="1" applyFont="1" applyFill="1" applyBorder="1" applyAlignment="1">
      <alignment horizontal="left" vertical="top"/>
    </xf>
    <xf numFmtId="187" fontId="60" fillId="26" borderId="88" xfId="147" applyNumberFormat="1" applyFont="1" applyFill="1" applyBorder="1" applyAlignment="1">
      <alignment horizontal="right" vertical="top"/>
    </xf>
    <xf numFmtId="187" fontId="60" fillId="26" borderId="89" xfId="147" applyNumberFormat="1" applyFont="1" applyFill="1" applyBorder="1" applyAlignment="1">
      <alignment horizontal="right" vertical="top"/>
    </xf>
    <xf numFmtId="182" fontId="60" fillId="26" borderId="90" xfId="147" applyNumberFormat="1" applyFont="1" applyFill="1" applyBorder="1" applyAlignment="1">
      <alignment horizontal="left" vertical="top"/>
    </xf>
    <xf numFmtId="182" fontId="56" fillId="26" borderId="91" xfId="147" applyNumberFormat="1" applyFont="1" applyFill="1" applyBorder="1" applyAlignment="1">
      <alignment horizontal="center" vertical="center" wrapText="1"/>
    </xf>
    <xf numFmtId="182" fontId="56" fillId="26" borderId="92" xfId="147" applyNumberFormat="1" applyFont="1" applyFill="1" applyBorder="1" applyAlignment="1">
      <alignment horizontal="center" vertical="center" wrapText="1"/>
    </xf>
    <xf numFmtId="0" fontId="56" fillId="26" borderId="57" xfId="146" applyFont="1" applyFill="1" applyBorder="1" applyAlignment="1">
      <alignment horizontal="center" vertical="center" wrapText="1"/>
    </xf>
    <xf numFmtId="0" fontId="56" fillId="26" borderId="93" xfId="146" applyFont="1" applyFill="1" applyBorder="1" applyAlignment="1">
      <alignment horizontal="center" vertical="center"/>
    </xf>
    <xf numFmtId="187" fontId="14" fillId="0" borderId="67" xfId="51" applyNumberFormat="1" applyFont="1" applyFill="1" applyBorder="1"/>
    <xf numFmtId="182" fontId="1" fillId="0" borderId="0" xfId="146" applyNumberFormat="1"/>
    <xf numFmtId="0" fontId="14" fillId="0" borderId="0" xfId="53" applyFont="1" applyAlignment="1">
      <alignment horizontal="center" vertical="center"/>
    </xf>
    <xf numFmtId="182" fontId="14" fillId="0" borderId="0" xfId="51" applyNumberFormat="1" applyFont="1" applyAlignment="1">
      <alignment horizontal="center"/>
    </xf>
    <xf numFmtId="37" fontId="10" fillId="0" borderId="0" xfId="37" applyFont="1" applyAlignment="1" applyProtection="1">
      <alignment horizontal="left" vertical="top" wrapText="1"/>
      <protection hidden="1"/>
    </xf>
    <xf numFmtId="0" fontId="43" fillId="0" borderId="27" xfId="0" applyFont="1" applyBorder="1" applyAlignment="1">
      <alignment horizontal="center"/>
    </xf>
    <xf numFmtId="37" fontId="43" fillId="0" borderId="27" xfId="37" applyFont="1" applyBorder="1" applyAlignment="1" applyProtection="1">
      <alignment horizontal="center"/>
      <protection hidden="1"/>
    </xf>
    <xf numFmtId="37" fontId="47" fillId="0" borderId="0" xfId="37" applyFont="1" applyAlignment="1" applyProtection="1">
      <alignment horizontal="center" vertical="center" wrapText="1"/>
      <protection hidden="1"/>
    </xf>
    <xf numFmtId="37" fontId="14" fillId="0" borderId="29" xfId="37" applyFont="1" applyBorder="1" applyAlignment="1" applyProtection="1">
      <alignment horizontal="center" vertical="center" wrapText="1"/>
      <protection hidden="1"/>
    </xf>
    <xf numFmtId="37" fontId="14" fillId="0" borderId="30" xfId="37" applyFont="1" applyBorder="1" applyAlignment="1" applyProtection="1">
      <alignment horizontal="center" vertical="center" wrapText="1"/>
      <protection hidden="1"/>
    </xf>
    <xf numFmtId="49" fontId="45" fillId="0" borderId="59" xfId="54" applyNumberFormat="1" applyFont="1" applyFill="1" applyBorder="1" applyAlignment="1" applyProtection="1">
      <alignment horizontal="center" vertical="center" wrapText="1"/>
      <protection hidden="1"/>
    </xf>
    <xf numFmtId="49" fontId="45" fillId="0" borderId="58" xfId="54" applyNumberFormat="1" applyFont="1" applyFill="1" applyBorder="1" applyAlignment="1" applyProtection="1">
      <alignment horizontal="center" vertical="center" wrapText="1"/>
      <protection hidden="1"/>
    </xf>
    <xf numFmtId="49" fontId="45" fillId="0" borderId="60" xfId="54" applyNumberFormat="1" applyFont="1" applyFill="1" applyBorder="1" applyAlignment="1" applyProtection="1">
      <alignment horizontal="center" vertical="center" wrapText="1"/>
      <protection hidden="1"/>
    </xf>
    <xf numFmtId="37" fontId="10" fillId="0" borderId="0" xfId="37" applyFont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 wrapText="1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3" fillId="0" borderId="27" xfId="37" applyFont="1" applyBorder="1" applyAlignment="1" applyProtection="1">
      <alignment horizontal="center" vertical="center"/>
      <protection hidden="1"/>
    </xf>
    <xf numFmtId="37" fontId="10" fillId="0" borderId="27" xfId="37" applyFont="1" applyBorder="1" applyAlignment="1" applyProtection="1">
      <alignment horizontal="center" vertical="center"/>
      <protection hidden="1"/>
    </xf>
    <xf numFmtId="37" fontId="43" fillId="0" borderId="27" xfId="37" applyFont="1" applyBorder="1" applyAlignment="1" applyProtection="1">
      <alignment horizontal="center" vertical="center" wrapText="1"/>
      <protection hidden="1"/>
    </xf>
    <xf numFmtId="0" fontId="14" fillId="24" borderId="54" xfId="106" applyFont="1" applyFill="1" applyBorder="1" applyAlignment="1">
      <alignment horizontal="center" vertical="center"/>
    </xf>
    <xf numFmtId="0" fontId="14" fillId="24" borderId="54" xfId="106" applyFont="1" applyFill="1" applyBorder="1" applyAlignment="1">
      <alignment horizontal="center"/>
    </xf>
    <xf numFmtId="0" fontId="10" fillId="24" borderId="0" xfId="106" applyFill="1" applyAlignment="1">
      <alignment horizontal="center" vertical="center"/>
    </xf>
    <xf numFmtId="0" fontId="58" fillId="25" borderId="0" xfId="112" applyNumberFormat="1" applyFont="1" applyBorder="1" applyAlignment="1">
      <alignment horizontal="center"/>
    </xf>
    <xf numFmtId="49" fontId="59" fillId="0" borderId="27" xfId="118" applyNumberFormat="1" applyFont="1" applyBorder="1" applyAlignment="1">
      <alignment horizontal="center"/>
    </xf>
    <xf numFmtId="0" fontId="36" fillId="0" borderId="0" xfId="146" applyFont="1" applyBorder="1" applyAlignment="1">
      <alignment horizontal="center"/>
    </xf>
    <xf numFmtId="0" fontId="61" fillId="0" borderId="27" xfId="146" applyFont="1" applyBorder="1" applyAlignment="1">
      <alignment horizontal="center"/>
    </xf>
  </cellXfs>
  <cellStyles count="148">
    <cellStyle name="=C:\WINNT\SYSTEM32\COMMAND.COM" xfId="57" xr:uid="{00000000-0005-0000-0000-000000000000}"/>
    <cellStyle name="20% - Énfasis1" xfId="1" builtinId="30" customBuiltin="1"/>
    <cellStyle name="20% - Énfasis1 2" xfId="58" xr:uid="{00000000-0005-0000-0000-000002000000}"/>
    <cellStyle name="20% - Énfasis2" xfId="2" builtinId="34" customBuiltin="1"/>
    <cellStyle name="20% - Énfasis2 2" xfId="59" xr:uid="{00000000-0005-0000-0000-000004000000}"/>
    <cellStyle name="20% - Énfasis3" xfId="3" builtinId="38" customBuiltin="1"/>
    <cellStyle name="20% - Énfasis3 2" xfId="60" xr:uid="{00000000-0005-0000-0000-000006000000}"/>
    <cellStyle name="20% - Énfasis4" xfId="4" builtinId="42" customBuiltin="1"/>
    <cellStyle name="20% - Énfasis4 2" xfId="61" xr:uid="{00000000-0005-0000-0000-000008000000}"/>
    <cellStyle name="20% - Énfasis5" xfId="5" builtinId="46" customBuiltin="1"/>
    <cellStyle name="20% - Énfasis5 2" xfId="62" xr:uid="{00000000-0005-0000-0000-00000A000000}"/>
    <cellStyle name="20% - Énfasis6" xfId="6" builtinId="50" customBuiltin="1"/>
    <cellStyle name="20% - Énfasis6 2" xfId="63" xr:uid="{00000000-0005-0000-0000-00000C000000}"/>
    <cellStyle name="40% - Énfasis1" xfId="7" builtinId="31" customBuiltin="1"/>
    <cellStyle name="40% - Énfasis1 2" xfId="64" xr:uid="{00000000-0005-0000-0000-00000E000000}"/>
    <cellStyle name="40% - Énfasis2" xfId="8" builtinId="35" customBuiltin="1"/>
    <cellStyle name="40% - Énfasis2 2" xfId="65" xr:uid="{00000000-0005-0000-0000-000010000000}"/>
    <cellStyle name="40% - Énfasis3" xfId="9" builtinId="39" customBuiltin="1"/>
    <cellStyle name="40% - Énfasis3 2" xfId="66" xr:uid="{00000000-0005-0000-0000-000012000000}"/>
    <cellStyle name="40% - Énfasis4" xfId="10" builtinId="43" customBuiltin="1"/>
    <cellStyle name="40% - Énfasis4 2" xfId="67" xr:uid="{00000000-0005-0000-0000-000014000000}"/>
    <cellStyle name="40% - Énfasis5" xfId="11" builtinId="47" customBuiltin="1"/>
    <cellStyle name="40% - Énfasis5 2" xfId="68" xr:uid="{00000000-0005-0000-0000-000016000000}"/>
    <cellStyle name="40% - Énfasis6" xfId="12" builtinId="51" customBuiltin="1"/>
    <cellStyle name="40% - Énfasis6 2" xfId="69" xr:uid="{00000000-0005-0000-0000-000018000000}"/>
    <cellStyle name="60% - Énfasis1" xfId="13" builtinId="32" customBuiltin="1"/>
    <cellStyle name="60% - Énfasis1 2" xfId="70" xr:uid="{00000000-0005-0000-0000-00001A000000}"/>
    <cellStyle name="60% - Énfasis2" xfId="14" builtinId="36" customBuiltin="1"/>
    <cellStyle name="60% - Énfasis2 2" xfId="71" xr:uid="{00000000-0005-0000-0000-00001C000000}"/>
    <cellStyle name="60% - Énfasis3" xfId="15" builtinId="40" customBuiltin="1"/>
    <cellStyle name="60% - Énfasis3 2" xfId="72" xr:uid="{00000000-0005-0000-0000-00001E000000}"/>
    <cellStyle name="60% - Énfasis4" xfId="16" builtinId="44" customBuiltin="1"/>
    <cellStyle name="60% - Énfasis4 2" xfId="73" xr:uid="{00000000-0005-0000-0000-000020000000}"/>
    <cellStyle name="60% - Énfasis5" xfId="17" builtinId="48" customBuiltin="1"/>
    <cellStyle name="60% - Énfasis5 2" xfId="74" xr:uid="{00000000-0005-0000-0000-000022000000}"/>
    <cellStyle name="60% - Énfasis6" xfId="18" builtinId="52" customBuiltin="1"/>
    <cellStyle name="60% - Énfasis6 2" xfId="75" xr:uid="{00000000-0005-0000-0000-000024000000}"/>
    <cellStyle name="Buena 2" xfId="76" xr:uid="{00000000-0005-0000-0000-000026000000}"/>
    <cellStyle name="Buena 3" xfId="112" xr:uid="{00000000-0005-0000-0000-000027000000}"/>
    <cellStyle name="Bueno" xfId="19" builtinId="26" customBuiltin="1"/>
    <cellStyle name="Cálculo" xfId="20" builtinId="22" customBuiltin="1"/>
    <cellStyle name="Cálculo 2" xfId="77" xr:uid="{00000000-0005-0000-0000-000029000000}"/>
    <cellStyle name="Cálculo 3" xfId="120" xr:uid="{00000000-0005-0000-0000-00007B000000}"/>
    <cellStyle name="Celda de comprobación" xfId="21" builtinId="23" customBuiltin="1"/>
    <cellStyle name="Celda de comprobación 2" xfId="78" xr:uid="{00000000-0005-0000-0000-00002B000000}"/>
    <cellStyle name="Celda de comprobación 3" xfId="121" xr:uid="{00000000-0005-0000-0000-00007C000000}"/>
    <cellStyle name="Celda vinculada" xfId="22" builtinId="24" customBuiltin="1"/>
    <cellStyle name="Celda vinculada 2" xfId="79" xr:uid="{00000000-0005-0000-0000-00002D000000}"/>
    <cellStyle name="Encabezado 1" xfId="46" builtinId="16" customBuiltin="1"/>
    <cellStyle name="Encabezado 4" xfId="23" builtinId="19" customBuiltin="1"/>
    <cellStyle name="Encabezado 4 2" xfId="80" xr:uid="{00000000-0005-0000-0000-000030000000}"/>
    <cellStyle name="Énfasis1" xfId="24" builtinId="29" customBuiltin="1"/>
    <cellStyle name="Énfasis1 2" xfId="81" xr:uid="{00000000-0005-0000-0000-000032000000}"/>
    <cellStyle name="Énfasis2" xfId="25" builtinId="33" customBuiltin="1"/>
    <cellStyle name="Énfasis2 2" xfId="82" xr:uid="{00000000-0005-0000-0000-000034000000}"/>
    <cellStyle name="Énfasis3" xfId="26" builtinId="37" customBuiltin="1"/>
    <cellStyle name="Énfasis3 2" xfId="83" xr:uid="{00000000-0005-0000-0000-000036000000}"/>
    <cellStyle name="Énfasis4" xfId="27" builtinId="41" customBuiltin="1"/>
    <cellStyle name="Énfasis4 2" xfId="84" xr:uid="{00000000-0005-0000-0000-000038000000}"/>
    <cellStyle name="Énfasis5" xfId="28" builtinId="45" customBuiltin="1"/>
    <cellStyle name="Énfasis5 2" xfId="85" xr:uid="{00000000-0005-0000-0000-00003A000000}"/>
    <cellStyle name="Énfasis6" xfId="29" builtinId="49" customBuiltin="1"/>
    <cellStyle name="Énfasis6 2" xfId="86" xr:uid="{00000000-0005-0000-0000-00003C000000}"/>
    <cellStyle name="Entrada" xfId="30" builtinId="20" customBuiltin="1"/>
    <cellStyle name="Entrada 2" xfId="87" xr:uid="{00000000-0005-0000-0000-00003E000000}"/>
    <cellStyle name="Entrada 3" xfId="122" xr:uid="{00000000-0005-0000-0000-00007D000000}"/>
    <cellStyle name="Euro" xfId="31" xr:uid="{00000000-0005-0000-0000-00003F000000}"/>
    <cellStyle name="Euro 2" xfId="88" xr:uid="{00000000-0005-0000-0000-000040000000}"/>
    <cellStyle name="Incorrecto" xfId="32" builtinId="27" customBuiltin="1"/>
    <cellStyle name="Incorrecto 2" xfId="89" xr:uid="{00000000-0005-0000-0000-000042000000}"/>
    <cellStyle name="Millares" xfId="33" builtinId="3"/>
    <cellStyle name="Millares [0] 2" xfId="90" xr:uid="{00000000-0005-0000-0000-000044000000}"/>
    <cellStyle name="Millares [0] 2 2" xfId="130" xr:uid="{00000000-0005-0000-0000-000024000000}"/>
    <cellStyle name="Millares [0] 2 3" xfId="140" xr:uid="{00000000-0005-0000-0000-000024000000}"/>
    <cellStyle name="Millares [0] 3" xfId="124" xr:uid="{00000000-0005-0000-0000-00007F000000}"/>
    <cellStyle name="Millares [0] 4" xfId="137" xr:uid="{00000000-0005-0000-0000-00008C000000}"/>
    <cellStyle name="Millares 12" xfId="105" xr:uid="{00000000-0005-0000-0000-000045000000}"/>
    <cellStyle name="Millares 2" xfId="51" xr:uid="{00000000-0005-0000-0000-000046000000}"/>
    <cellStyle name="Millares 2 2" xfId="54" xr:uid="{00000000-0005-0000-0000-000047000000}"/>
    <cellStyle name="Millares 2 2 2" xfId="102" xr:uid="{00000000-0005-0000-0000-000048000000}"/>
    <cellStyle name="Millares 2 2 3" xfId="133" xr:uid="{00000000-0005-0000-0000-000026000000}"/>
    <cellStyle name="Millares 2 2 4" xfId="143" xr:uid="{00000000-0005-0000-0000-000026000000}"/>
    <cellStyle name="Millares 2 3" xfId="129" xr:uid="{00000000-0005-0000-0000-000025000000}"/>
    <cellStyle name="Millares 2 4" xfId="139" xr:uid="{00000000-0005-0000-0000-000025000000}"/>
    <cellStyle name="Millares 3" xfId="52" xr:uid="{00000000-0005-0000-0000-000049000000}"/>
    <cellStyle name="Millares 3 2" xfId="128" xr:uid="{00000000-0005-0000-0000-000027000000}"/>
    <cellStyle name="Millares 3 3" xfId="138" xr:uid="{00000000-0005-0000-0000-000027000000}"/>
    <cellStyle name="Millares 4" xfId="110" xr:uid="{00000000-0005-0000-0000-00004A000000}"/>
    <cellStyle name="Millares 5" xfId="114" xr:uid="{00000000-0005-0000-0000-00004B000000}"/>
    <cellStyle name="Millares 5 2" xfId="119" xr:uid="{00000000-0005-0000-0000-00004C000000}"/>
    <cellStyle name="Millares 6" xfId="116" xr:uid="{00000000-0005-0000-0000-00004D000000}"/>
    <cellStyle name="Millares 7" xfId="123" xr:uid="{00000000-0005-0000-0000-00007E000000}"/>
    <cellStyle name="Millares 8" xfId="136" xr:uid="{00000000-0005-0000-0000-00008B000000}"/>
    <cellStyle name="Millares 9" xfId="147" xr:uid="{827CC1A2-466E-4080-9A0D-80E09F5C5062}"/>
    <cellStyle name="Moneda 2" xfId="111" xr:uid="{00000000-0005-0000-0000-00004E000000}"/>
    <cellStyle name="Moneda 2 2" xfId="135" xr:uid="{00000000-0005-0000-0000-000028000000}"/>
    <cellStyle name="Moneda 2 3" xfId="145" xr:uid="{00000000-0005-0000-0000-000028000000}"/>
    <cellStyle name="Neutral" xfId="34" builtinId="28" customBuiltin="1"/>
    <cellStyle name="Neutral 2" xfId="91" xr:uid="{00000000-0005-0000-0000-000050000000}"/>
    <cellStyle name="Normal" xfId="0" builtinId="0"/>
    <cellStyle name="Normal 10" xfId="146" xr:uid="{5ADA4C8B-3A47-4533-9C9B-A7DAD6F06AF6}"/>
    <cellStyle name="Normal 2" xfId="35" xr:uid="{00000000-0005-0000-0000-000052000000}"/>
    <cellStyle name="Normal 2 2" xfId="103" xr:uid="{00000000-0005-0000-0000-000053000000}"/>
    <cellStyle name="Normal 2 3" xfId="106" xr:uid="{00000000-0005-0000-0000-000054000000}"/>
    <cellStyle name="Normal 2 4" xfId="108" xr:uid="{00000000-0005-0000-0000-000055000000}"/>
    <cellStyle name="Normal 2 5" xfId="117" xr:uid="{00000000-0005-0000-0000-000056000000}"/>
    <cellStyle name="Normal 2 6" xfId="131" xr:uid="{00000000-0005-0000-0000-00002B000000}"/>
    <cellStyle name="Normal 2 7" xfId="141" xr:uid="{00000000-0005-0000-0000-00002B000000}"/>
    <cellStyle name="Normal 3" xfId="36" xr:uid="{00000000-0005-0000-0000-000057000000}"/>
    <cellStyle name="Normal 3 2" xfId="134" xr:uid="{00000000-0005-0000-0000-00002C000000}"/>
    <cellStyle name="Normal 3 3" xfId="144" xr:uid="{00000000-0005-0000-0000-00002C000000}"/>
    <cellStyle name="Normal 4" xfId="53" xr:uid="{00000000-0005-0000-0000-000058000000}"/>
    <cellStyle name="Normal 5" xfId="101" xr:uid="{00000000-0005-0000-0000-000059000000}"/>
    <cellStyle name="Normal 6" xfId="104" xr:uid="{00000000-0005-0000-0000-00005A000000}"/>
    <cellStyle name="Normal 7" xfId="109" xr:uid="{00000000-0005-0000-0000-00005B000000}"/>
    <cellStyle name="Normal 8" xfId="113" xr:uid="{00000000-0005-0000-0000-00005C000000}"/>
    <cellStyle name="Normal 8 2" xfId="118" xr:uid="{00000000-0005-0000-0000-00005D000000}"/>
    <cellStyle name="Normal 9" xfId="115" xr:uid="{00000000-0005-0000-0000-00005E000000}"/>
    <cellStyle name="Normal_FGPAGO95" xfId="37" xr:uid="{00000000-0005-0000-0000-00005F000000}"/>
    <cellStyle name="Notas" xfId="38" builtinId="10" customBuiltin="1"/>
    <cellStyle name="Notas 2" xfId="92" xr:uid="{00000000-0005-0000-0000-000061000000}"/>
    <cellStyle name="Notas 3" xfId="125" xr:uid="{00000000-0005-0000-0000-000087000000}"/>
    <cellStyle name="PESOS" xfId="39" xr:uid="{00000000-0005-0000-0000-000062000000}"/>
    <cellStyle name="Porcentaje" xfId="40" builtinId="5"/>
    <cellStyle name="Porcentaje 2" xfId="107" xr:uid="{00000000-0005-0000-0000-000064000000}"/>
    <cellStyle name="Porcentaje 2 2" xfId="132" xr:uid="{00000000-0005-0000-0000-00002F000000}"/>
    <cellStyle name="Porcentaje 2 3" xfId="142" xr:uid="{00000000-0005-0000-0000-00002F000000}"/>
    <cellStyle name="Porcentual 2" xfId="41" xr:uid="{00000000-0005-0000-0000-000065000000}"/>
    <cellStyle name="Porcentual 3" xfId="55" xr:uid="{00000000-0005-0000-0000-000066000000}"/>
    <cellStyle name="Porcentual 4" xfId="56" xr:uid="{00000000-0005-0000-0000-000067000000}"/>
    <cellStyle name="Salida" xfId="42" builtinId="21" customBuiltin="1"/>
    <cellStyle name="Salida 2" xfId="93" xr:uid="{00000000-0005-0000-0000-000069000000}"/>
    <cellStyle name="Salida 3" xfId="126" xr:uid="{00000000-0005-0000-0000-000089000000}"/>
    <cellStyle name="Texto de advertencia" xfId="43" builtinId="11" customBuiltin="1"/>
    <cellStyle name="Texto de advertencia 2" xfId="94" xr:uid="{00000000-0005-0000-0000-00006B000000}"/>
    <cellStyle name="Texto explicativo" xfId="44" builtinId="53" customBuiltin="1"/>
    <cellStyle name="Texto explicativo 2" xfId="95" xr:uid="{00000000-0005-0000-0000-00006D000000}"/>
    <cellStyle name="Título" xfId="45" builtinId="15" customBuiltin="1"/>
    <cellStyle name="Título 1 2" xfId="96" xr:uid="{00000000-0005-0000-0000-00006F000000}"/>
    <cellStyle name="Título 2" xfId="47" builtinId="17" customBuiltin="1"/>
    <cellStyle name="Título 2 2" xfId="97" xr:uid="{00000000-0005-0000-0000-000071000000}"/>
    <cellStyle name="Título 3" xfId="48" builtinId="18" customBuiltin="1"/>
    <cellStyle name="Título 3 2" xfId="98" xr:uid="{00000000-0005-0000-0000-000073000000}"/>
    <cellStyle name="Título 4" xfId="99" xr:uid="{00000000-0005-0000-0000-000074000000}"/>
    <cellStyle name="Total" xfId="49" builtinId="25" customBuiltin="1"/>
    <cellStyle name="Total 2" xfId="100" xr:uid="{00000000-0005-0000-0000-000076000000}"/>
    <cellStyle name="Total 3" xfId="127" xr:uid="{00000000-0005-0000-0000-00008A000000}"/>
    <cellStyle name="UDI´s" xfId="50" xr:uid="{00000000-0005-0000-0000-000077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6DB57FFF-24BF-4070-93BC-15A9B2C36242}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jose_pena\AppData\Local\Microsoft\Windows\Temporary%20Internet%20Files\Content.Outlook\2WDT6RRY\alumnos%20promedio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"/>
      <sheetName val="MAESTROS"/>
      <sheetName val="ESCUELAS"/>
      <sheetName val="GRUPOS"/>
      <sheetName val="Hoja1"/>
      <sheetName val="Num Alum"/>
      <sheetName val="Num Esc"/>
      <sheetName val="Alum Prom"/>
      <sheetName val="Resumen"/>
    </sheetNames>
    <sheetDataSet>
      <sheetData sheetId="0"/>
      <sheetData sheetId="1"/>
      <sheetData sheetId="2"/>
      <sheetData sheetId="3"/>
      <sheetData sheetId="4">
        <row r="1">
          <cell r="C1">
            <v>7</v>
          </cell>
          <cell r="G1">
            <v>10</v>
          </cell>
        </row>
      </sheetData>
      <sheetData sheetId="5">
        <row r="15">
          <cell r="AD15">
            <v>0</v>
          </cell>
        </row>
      </sheetData>
      <sheetData sheetId="6">
        <row r="15">
          <cell r="AD15">
            <v>0</v>
          </cell>
        </row>
      </sheetData>
      <sheetData sheetId="7">
        <row r="6">
          <cell r="AD6">
            <v>73.411353421008826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workbookViewId="0">
      <selection activeCell="A15" sqref="A15"/>
    </sheetView>
  </sheetViews>
  <sheetFormatPr baseColWidth="10" defaultColWidth="11.42578125" defaultRowHeight="12.75"/>
  <cols>
    <col min="1" max="1" width="59" style="94" customWidth="1"/>
    <col min="2" max="3" width="16.5703125" style="94" customWidth="1"/>
    <col min="4" max="4" width="13.5703125" style="94" customWidth="1"/>
    <col min="5" max="7" width="16.5703125" style="94" customWidth="1"/>
    <col min="8" max="8" width="17.140625" style="94" customWidth="1"/>
    <col min="9" max="9" width="11.7109375" style="94" bestFit="1" customWidth="1"/>
    <col min="10" max="10" width="11.42578125" style="94"/>
    <col min="11" max="11" width="17.5703125" style="94" bestFit="1" customWidth="1"/>
    <col min="12" max="12" width="11.42578125" style="94"/>
    <col min="13" max="13" width="14.85546875" style="94" bestFit="1" customWidth="1"/>
    <col min="14" max="16384" width="11.42578125" style="94"/>
  </cols>
  <sheetData>
    <row r="1" spans="1:13" ht="18.75" customHeight="1">
      <c r="A1" s="291" t="s">
        <v>207</v>
      </c>
      <c r="B1" s="291"/>
      <c r="C1" s="291"/>
      <c r="D1" s="291"/>
      <c r="E1" s="291"/>
      <c r="F1" s="291"/>
      <c r="G1" s="291"/>
    </row>
    <row r="3" spans="1:13" ht="38.25">
      <c r="A3" s="156" t="s">
        <v>84</v>
      </c>
      <c r="B3" s="156" t="s">
        <v>196</v>
      </c>
      <c r="C3" s="156" t="s">
        <v>36</v>
      </c>
      <c r="D3" s="156" t="s">
        <v>85</v>
      </c>
      <c r="E3" s="156" t="s">
        <v>95</v>
      </c>
      <c r="F3" s="156" t="s">
        <v>179</v>
      </c>
      <c r="G3" s="156" t="s">
        <v>180</v>
      </c>
    </row>
    <row r="4" spans="1:13" ht="25.5" customHeight="1">
      <c r="A4" s="153" t="s">
        <v>86</v>
      </c>
      <c r="B4" s="179">
        <v>44485706805</v>
      </c>
      <c r="C4" s="179">
        <f t="shared" ref="C4:C9" si="0">SUM(B4:B4)</f>
        <v>44485706805</v>
      </c>
      <c r="D4" s="180">
        <v>20</v>
      </c>
      <c r="E4" s="258">
        <f>+D4/100*C4</f>
        <v>8897141361</v>
      </c>
      <c r="F4" s="258">
        <v>6575127028.2700005</v>
      </c>
      <c r="G4" s="258">
        <f t="shared" ref="G4:G9" si="1">+E4-F4</f>
        <v>2322014332.7299995</v>
      </c>
      <c r="I4" s="229"/>
    </row>
    <row r="5" spans="1:13" ht="25.5" customHeight="1">
      <c r="A5" s="153" t="s">
        <v>102</v>
      </c>
      <c r="B5" s="179">
        <v>1354779697.5</v>
      </c>
      <c r="C5" s="179">
        <f t="shared" si="0"/>
        <v>1354779697.5</v>
      </c>
      <c r="D5" s="180">
        <v>100</v>
      </c>
      <c r="E5" s="258">
        <f t="shared" ref="E5:E9" si="2">+D5/100*C5</f>
        <v>1354779697.5</v>
      </c>
      <c r="F5" s="258">
        <v>897976680.16000021</v>
      </c>
      <c r="G5" s="258">
        <f t="shared" si="1"/>
        <v>456803017.33999979</v>
      </c>
      <c r="K5" s="163"/>
    </row>
    <row r="6" spans="1:13" ht="25.5" customHeight="1">
      <c r="A6" s="153" t="s">
        <v>87</v>
      </c>
      <c r="B6" s="179">
        <v>1373613987</v>
      </c>
      <c r="C6" s="179">
        <f t="shared" si="0"/>
        <v>1373613987</v>
      </c>
      <c r="D6" s="180">
        <v>20</v>
      </c>
      <c r="E6" s="258">
        <f t="shared" si="2"/>
        <v>274722797.40000004</v>
      </c>
      <c r="F6" s="258">
        <v>220792307.32999998</v>
      </c>
      <c r="G6" s="258">
        <f t="shared" si="1"/>
        <v>53930490.070000052</v>
      </c>
      <c r="K6" s="163"/>
      <c r="M6" s="228"/>
    </row>
    <row r="7" spans="1:13" ht="25.5" customHeight="1">
      <c r="A7" s="153" t="s">
        <v>94</v>
      </c>
      <c r="B7" s="179">
        <v>2417564333</v>
      </c>
      <c r="C7" s="179">
        <f t="shared" si="0"/>
        <v>2417564333</v>
      </c>
      <c r="D7" s="180">
        <v>20</v>
      </c>
      <c r="E7" s="258">
        <f t="shared" si="2"/>
        <v>483512866.60000002</v>
      </c>
      <c r="F7" s="258">
        <v>372200568.05000001</v>
      </c>
      <c r="G7" s="258">
        <f t="shared" si="1"/>
        <v>111312298.55000001</v>
      </c>
      <c r="K7" s="163"/>
    </row>
    <row r="8" spans="1:13" ht="25.5" customHeight="1">
      <c r="A8" s="153" t="s">
        <v>98</v>
      </c>
      <c r="B8" s="179">
        <v>1937472818</v>
      </c>
      <c r="C8" s="179">
        <f t="shared" si="0"/>
        <v>1937472818</v>
      </c>
      <c r="D8" s="180">
        <v>20</v>
      </c>
      <c r="E8" s="258">
        <f t="shared" si="2"/>
        <v>387494563.60000002</v>
      </c>
      <c r="F8" s="258">
        <v>183055003.22</v>
      </c>
      <c r="G8" s="258">
        <f t="shared" si="1"/>
        <v>204439560.38000003</v>
      </c>
    </row>
    <row r="9" spans="1:13" ht="25.5" customHeight="1">
      <c r="A9" s="153" t="s">
        <v>97</v>
      </c>
      <c r="B9" s="179">
        <v>224271222</v>
      </c>
      <c r="C9" s="179">
        <f t="shared" si="0"/>
        <v>224271222</v>
      </c>
      <c r="D9" s="180">
        <v>20</v>
      </c>
      <c r="E9" s="258">
        <f t="shared" si="2"/>
        <v>44854244.400000006</v>
      </c>
      <c r="F9" s="258">
        <v>39228897.590000004</v>
      </c>
      <c r="G9" s="258">
        <f t="shared" si="1"/>
        <v>5625346.8100000024</v>
      </c>
    </row>
    <row r="10" spans="1:13" ht="25.5" customHeight="1">
      <c r="A10" s="212" t="s">
        <v>186</v>
      </c>
      <c r="B10" s="213">
        <f t="shared" ref="B10" si="3">SUM(B4:B9)</f>
        <v>51793408862.5</v>
      </c>
      <c r="C10" s="213">
        <f t="shared" ref="C10" si="4">SUM(C4:C9)</f>
        <v>51793408862.5</v>
      </c>
      <c r="D10" s="214"/>
      <c r="E10" s="213">
        <f>SUM(E4:E9)</f>
        <v>11442505530.5</v>
      </c>
      <c r="F10" s="213">
        <f>SUM(F4:F9)</f>
        <v>8288380484.6200008</v>
      </c>
      <c r="G10" s="259">
        <f>SUM(G4:G9)</f>
        <v>3154125045.8799996</v>
      </c>
    </row>
    <row r="11" spans="1:13" ht="25.5" customHeight="1">
      <c r="A11" s="153" t="s">
        <v>101</v>
      </c>
      <c r="B11" s="179">
        <v>414389890.88999999</v>
      </c>
      <c r="C11" s="179">
        <f>SUM(B11:B11)</f>
        <v>414389890.88999999</v>
      </c>
      <c r="D11" s="180">
        <v>100</v>
      </c>
      <c r="E11" s="260">
        <f>+D11/100*C11</f>
        <v>414389890.88999999</v>
      </c>
      <c r="F11" s="258"/>
      <c r="G11" s="258"/>
    </row>
    <row r="12" spans="1:13" ht="25.5" customHeight="1">
      <c r="A12" s="153" t="s">
        <v>93</v>
      </c>
      <c r="B12" s="179">
        <v>1237629797</v>
      </c>
      <c r="C12" s="179">
        <f>SUM(B12:B12)</f>
        <v>1237629797</v>
      </c>
      <c r="D12" s="180">
        <v>20</v>
      </c>
      <c r="E12" s="260">
        <f>+D12/100*C12</f>
        <v>247525959.40000001</v>
      </c>
      <c r="F12" s="258"/>
      <c r="G12" s="258"/>
    </row>
    <row r="13" spans="1:13" ht="25.5" customHeight="1">
      <c r="A13" s="153" t="s">
        <v>187</v>
      </c>
      <c r="B13" s="179">
        <v>1583937752</v>
      </c>
      <c r="C13" s="179">
        <f>SUM(B13:B13)</f>
        <v>1583937752</v>
      </c>
      <c r="D13" s="180">
        <v>20</v>
      </c>
      <c r="E13" s="260">
        <f t="shared" ref="E13" si="5">+D13/100*C13</f>
        <v>316787550.40000004</v>
      </c>
      <c r="F13" s="258"/>
      <c r="G13" s="258"/>
    </row>
    <row r="14" spans="1:13" ht="25.5" customHeight="1">
      <c r="A14" s="212" t="s">
        <v>186</v>
      </c>
      <c r="B14" s="213">
        <f t="shared" ref="B14:C14" si="6">SUM(B11:B13)</f>
        <v>3235957439.8899999</v>
      </c>
      <c r="C14" s="213">
        <f t="shared" si="6"/>
        <v>3235957439.8899999</v>
      </c>
      <c r="D14" s="214"/>
      <c r="E14" s="213">
        <f>SUM(E11:E13)</f>
        <v>978703400.69000006</v>
      </c>
      <c r="F14" s="259"/>
      <c r="G14" s="259"/>
    </row>
    <row r="15" spans="1:13" ht="21.75" customHeight="1">
      <c r="A15" s="157" t="s">
        <v>36</v>
      </c>
      <c r="B15" s="182">
        <f t="shared" ref="B15:C15" si="7">SUM(B14,B10)</f>
        <v>55029366302.389999</v>
      </c>
      <c r="C15" s="182">
        <f t="shared" si="7"/>
        <v>55029366302.389999</v>
      </c>
      <c r="D15" s="181"/>
      <c r="E15" s="182">
        <f>SUM(E14,E10)</f>
        <v>12421208931.190001</v>
      </c>
      <c r="F15" s="182">
        <f>SUM(F14,F10)</f>
        <v>8288380484.6200008</v>
      </c>
      <c r="G15" s="182">
        <f>SUM(G14,G10)</f>
        <v>3154125045.8799996</v>
      </c>
    </row>
    <row r="16" spans="1:13">
      <c r="A16" s="95"/>
      <c r="B16" s="95"/>
      <c r="C16" s="95"/>
      <c r="D16" s="96"/>
      <c r="E16" s="97"/>
      <c r="F16" s="96"/>
    </row>
    <row r="17" spans="1:4">
      <c r="C17" s="229"/>
    </row>
    <row r="18" spans="1:4">
      <c r="B18" s="229"/>
    </row>
    <row r="19" spans="1:4">
      <c r="B19" s="229"/>
    </row>
    <row r="20" spans="1:4">
      <c r="B20" s="229"/>
    </row>
    <row r="21" spans="1:4">
      <c r="A21" s="164"/>
      <c r="B21" s="164"/>
      <c r="C21" s="164"/>
      <c r="D21" s="166"/>
    </row>
    <row r="22" spans="1:4">
      <c r="A22" s="165"/>
      <c r="B22" s="165"/>
      <c r="C22" s="165"/>
      <c r="D22" s="167"/>
    </row>
  </sheetData>
  <mergeCells count="1"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headerFooter>
    <oddHeader>&amp;LANEXO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EA12-B07C-42C2-945B-2137BFEDE806}">
  <dimension ref="A1:D54"/>
  <sheetViews>
    <sheetView showGridLines="0" workbookViewId="0">
      <selection activeCell="A5" sqref="A5"/>
    </sheetView>
  </sheetViews>
  <sheetFormatPr baseColWidth="10" defaultRowHeight="15"/>
  <cols>
    <col min="1" max="1" width="34.85546875" style="261" customWidth="1"/>
    <col min="2" max="4" width="18.85546875" style="261" customWidth="1"/>
    <col min="5" max="18" width="11.42578125" style="261"/>
    <col min="19" max="19" width="11.42578125" style="261" customWidth="1"/>
    <col min="20" max="16384" width="11.42578125" style="261"/>
  </cols>
  <sheetData>
    <row r="1" spans="1:4" ht="15.75" customHeight="1" thickBot="1">
      <c r="A1" s="313" t="s">
        <v>229</v>
      </c>
      <c r="B1" s="313"/>
      <c r="C1" s="313"/>
      <c r="D1" s="313"/>
    </row>
    <row r="2" spans="1:4" ht="51.75" thickBot="1">
      <c r="A2" s="271" t="s">
        <v>152</v>
      </c>
      <c r="B2" s="270" t="s">
        <v>228</v>
      </c>
      <c r="C2" s="270" t="s">
        <v>227</v>
      </c>
      <c r="D2" s="269" t="s">
        <v>226</v>
      </c>
    </row>
    <row r="3" spans="1:4">
      <c r="A3" s="268" t="s">
        <v>1</v>
      </c>
      <c r="B3" s="265">
        <f>+'Distr Prov'!L6</f>
        <v>17597464.359999992</v>
      </c>
      <c r="C3" s="265">
        <f>+'Distr Def'!L6</f>
        <v>17671392.029999997</v>
      </c>
      <c r="D3" s="264">
        <f t="shared" ref="D3:D34" si="0">+C3-B3</f>
        <v>73927.670000005513</v>
      </c>
    </row>
    <row r="4" spans="1:4">
      <c r="A4" s="267" t="s">
        <v>2</v>
      </c>
      <c r="B4" s="265">
        <f>+'Distr Prov'!L7</f>
        <v>28458884.079999998</v>
      </c>
      <c r="C4" s="265">
        <f>+'Distr Def'!L7</f>
        <v>28616526.309999999</v>
      </c>
      <c r="D4" s="264">
        <f t="shared" si="0"/>
        <v>157642.23000000045</v>
      </c>
    </row>
    <row r="5" spans="1:4">
      <c r="A5" s="267" t="s">
        <v>225</v>
      </c>
      <c r="B5" s="265">
        <f>+'Distr Prov'!L8</f>
        <v>29728314.169999994</v>
      </c>
      <c r="C5" s="265">
        <f>+'Distr Def'!L8</f>
        <v>29856915.449999999</v>
      </c>
      <c r="D5" s="264">
        <f t="shared" si="0"/>
        <v>128601.28000000492</v>
      </c>
    </row>
    <row r="6" spans="1:4">
      <c r="A6" s="267" t="s">
        <v>3</v>
      </c>
      <c r="B6" s="265">
        <f>+'Distr Prov'!L9</f>
        <v>86851792.480000019</v>
      </c>
      <c r="C6" s="265">
        <f>+'Distr Def'!L9</f>
        <v>87088365.079999998</v>
      </c>
      <c r="D6" s="264">
        <f t="shared" si="0"/>
        <v>236572.59999997914</v>
      </c>
    </row>
    <row r="7" spans="1:4">
      <c r="A7" s="267" t="s">
        <v>224</v>
      </c>
      <c r="B7" s="265">
        <f>+'Distr Prov'!L10</f>
        <v>99498852.079999968</v>
      </c>
      <c r="C7" s="265">
        <f>+'Distr Def'!L10</f>
        <v>99994335.729999989</v>
      </c>
      <c r="D7" s="264">
        <f t="shared" si="0"/>
        <v>495483.65000002086</v>
      </c>
    </row>
    <row r="8" spans="1:4">
      <c r="A8" s="267" t="s">
        <v>4</v>
      </c>
      <c r="B8" s="265">
        <f>+'Distr Prov'!L11</f>
        <v>854081194.29000008</v>
      </c>
      <c r="C8" s="265">
        <f>+'Distr Def'!L11</f>
        <v>851781087.82000017</v>
      </c>
      <c r="D8" s="264">
        <f t="shared" si="0"/>
        <v>-2300106.4699999094</v>
      </c>
    </row>
    <row r="9" spans="1:4">
      <c r="A9" s="267" t="s">
        <v>5</v>
      </c>
      <c r="B9" s="265">
        <f>+'Distr Prov'!L12</f>
        <v>105623805.31</v>
      </c>
      <c r="C9" s="265">
        <f>+'Distr Def'!L12</f>
        <v>106343989.97000001</v>
      </c>
      <c r="D9" s="264">
        <f t="shared" si="0"/>
        <v>720184.66000001132</v>
      </c>
    </row>
    <row r="10" spans="1:4">
      <c r="A10" s="267" t="s">
        <v>6</v>
      </c>
      <c r="B10" s="265">
        <f>+'Distr Prov'!L13</f>
        <v>49470016.900000013</v>
      </c>
      <c r="C10" s="265">
        <f>+'Distr Def'!L13</f>
        <v>49463761.79999999</v>
      </c>
      <c r="D10" s="264">
        <f t="shared" si="0"/>
        <v>-6255.1000000238419</v>
      </c>
    </row>
    <row r="11" spans="1:4">
      <c r="A11" s="267" t="s">
        <v>223</v>
      </c>
      <c r="B11" s="265">
        <f>+'Distr Prov'!L14</f>
        <v>185604047.69999993</v>
      </c>
      <c r="C11" s="265">
        <f>+'Distr Def'!L14</f>
        <v>186086376.96000004</v>
      </c>
      <c r="D11" s="264">
        <f t="shared" si="0"/>
        <v>482329.26000010967</v>
      </c>
    </row>
    <row r="12" spans="1:4">
      <c r="A12" s="267" t="s">
        <v>129</v>
      </c>
      <c r="B12" s="265">
        <f>+'Distr Prov'!L15</f>
        <v>74430644.789999992</v>
      </c>
      <c r="C12" s="265">
        <f>+'Distr Def'!L15</f>
        <v>73525751.989999995</v>
      </c>
      <c r="D12" s="264">
        <f t="shared" si="0"/>
        <v>-904892.79999999702</v>
      </c>
    </row>
    <row r="13" spans="1:4">
      <c r="A13" s="267" t="s">
        <v>130</v>
      </c>
      <c r="B13" s="265">
        <f>+'Distr Prov'!L16</f>
        <v>50648665.699999996</v>
      </c>
      <c r="C13" s="265">
        <f>+'Distr Def'!L16</f>
        <v>50697597.809999987</v>
      </c>
      <c r="D13" s="264">
        <f t="shared" si="0"/>
        <v>48932.109999991953</v>
      </c>
    </row>
    <row r="14" spans="1:4">
      <c r="A14" s="267" t="s">
        <v>7</v>
      </c>
      <c r="B14" s="265">
        <f>+'Distr Prov'!L17</f>
        <v>87073341.739999995</v>
      </c>
      <c r="C14" s="265">
        <f>+'Distr Def'!L17</f>
        <v>87547190.310000017</v>
      </c>
      <c r="D14" s="264">
        <f t="shared" si="0"/>
        <v>473848.57000002265</v>
      </c>
    </row>
    <row r="15" spans="1:4">
      <c r="A15" s="267" t="s">
        <v>222</v>
      </c>
      <c r="B15" s="265">
        <f>+'Distr Prov'!L18</f>
        <v>67915809.529999986</v>
      </c>
      <c r="C15" s="265">
        <f>+'Distr Def'!L18</f>
        <v>67577068.769999996</v>
      </c>
      <c r="D15" s="264">
        <f t="shared" si="0"/>
        <v>-338740.75999999046</v>
      </c>
    </row>
    <row r="16" spans="1:4">
      <c r="A16" s="267" t="s">
        <v>8</v>
      </c>
      <c r="B16" s="265">
        <f>+'Distr Prov'!L19</f>
        <v>227381576.30000004</v>
      </c>
      <c r="C16" s="265">
        <f>+'Distr Def'!L19</f>
        <v>229019030.63999999</v>
      </c>
      <c r="D16" s="264">
        <f t="shared" si="0"/>
        <v>1637454.339999944</v>
      </c>
    </row>
    <row r="17" spans="1:4">
      <c r="A17" s="267" t="s">
        <v>9</v>
      </c>
      <c r="B17" s="265">
        <f>+'Distr Prov'!L20</f>
        <v>31161070.609999999</v>
      </c>
      <c r="C17" s="265">
        <f>+'Distr Def'!L20</f>
        <v>31346462.340000007</v>
      </c>
      <c r="D17" s="264">
        <f t="shared" si="0"/>
        <v>185391.7300000079</v>
      </c>
    </row>
    <row r="18" spans="1:4">
      <c r="A18" s="267" t="s">
        <v>221</v>
      </c>
      <c r="B18" s="265">
        <f>+'Distr Prov'!L21</f>
        <v>24690740</v>
      </c>
      <c r="C18" s="265">
        <f>+'Distr Def'!L21</f>
        <v>24826414.680000003</v>
      </c>
      <c r="D18" s="264">
        <f t="shared" si="0"/>
        <v>135674.68000000343</v>
      </c>
    </row>
    <row r="19" spans="1:4">
      <c r="A19" s="267" t="s">
        <v>10</v>
      </c>
      <c r="B19" s="265">
        <f>+'Distr Prov'!L22</f>
        <v>184045401.05999994</v>
      </c>
      <c r="C19" s="265">
        <f>+'Distr Def'!L22</f>
        <v>185103129.86000004</v>
      </c>
      <c r="D19" s="264">
        <f t="shared" si="0"/>
        <v>1057728.8000001013</v>
      </c>
    </row>
    <row r="20" spans="1:4">
      <c r="A20" s="267" t="s">
        <v>220</v>
      </c>
      <c r="B20" s="265">
        <f>+'Distr Prov'!L23</f>
        <v>347720558.95999992</v>
      </c>
      <c r="C20" s="265">
        <f>+'Distr Def'!L23</f>
        <v>345853145.13999999</v>
      </c>
      <c r="D20" s="264">
        <f t="shared" si="0"/>
        <v>-1867413.8199999332</v>
      </c>
    </row>
    <row r="21" spans="1:4">
      <c r="A21" s="267" t="s">
        <v>11</v>
      </c>
      <c r="B21" s="265">
        <f>+'Distr Prov'!L24</f>
        <v>40505870.579999998</v>
      </c>
      <c r="C21" s="265">
        <f>+'Distr Def'!L24</f>
        <v>40595348.57</v>
      </c>
      <c r="D21" s="264">
        <f t="shared" si="0"/>
        <v>89477.990000002086</v>
      </c>
    </row>
    <row r="22" spans="1:4">
      <c r="A22" s="267" t="s">
        <v>12</v>
      </c>
      <c r="B22" s="265">
        <f>+'Distr Prov'!L25</f>
        <v>601507229.44000006</v>
      </c>
      <c r="C22" s="265">
        <f>+'Distr Def'!L25</f>
        <v>600694272.63999999</v>
      </c>
      <c r="D22" s="264">
        <f t="shared" si="0"/>
        <v>-812956.80000007153</v>
      </c>
    </row>
    <row r="23" spans="1:4">
      <c r="A23" s="267" t="s">
        <v>219</v>
      </c>
      <c r="B23" s="265">
        <f>+'Distr Prov'!L26</f>
        <v>76764585.499999985</v>
      </c>
      <c r="C23" s="265">
        <f>+'Distr Def'!L26</f>
        <v>77099741.269999996</v>
      </c>
      <c r="D23" s="264">
        <f t="shared" si="0"/>
        <v>335155.77000001073</v>
      </c>
    </row>
    <row r="24" spans="1:4">
      <c r="A24" s="267" t="s">
        <v>13</v>
      </c>
      <c r="B24" s="265">
        <f>+'Distr Prov'!L27</f>
        <v>19241854.450000003</v>
      </c>
      <c r="C24" s="265">
        <f>+'Distr Def'!L27</f>
        <v>19274525.650000002</v>
      </c>
      <c r="D24" s="264">
        <f t="shared" si="0"/>
        <v>32671.199999999255</v>
      </c>
    </row>
    <row r="25" spans="1:4">
      <c r="A25" s="267" t="s">
        <v>14</v>
      </c>
      <c r="B25" s="265">
        <f>+'Distr Prov'!L28</f>
        <v>57241217.580000006</v>
      </c>
      <c r="C25" s="265">
        <f>+'Distr Def'!L28</f>
        <v>57581945.069999993</v>
      </c>
      <c r="D25" s="264">
        <f t="shared" si="0"/>
        <v>340727.48999998719</v>
      </c>
    </row>
    <row r="26" spans="1:4">
      <c r="A26" s="267" t="s">
        <v>15</v>
      </c>
      <c r="B26" s="265">
        <f>+'Distr Prov'!L29</f>
        <v>85644361.770000011</v>
      </c>
      <c r="C26" s="265">
        <f>+'Distr Def'!L29</f>
        <v>85102387.50999999</v>
      </c>
      <c r="D26" s="264">
        <f t="shared" si="0"/>
        <v>-541974.26000002027</v>
      </c>
    </row>
    <row r="27" spans="1:4">
      <c r="A27" s="267" t="s">
        <v>16</v>
      </c>
      <c r="B27" s="265">
        <f>+'Distr Prov'!L30</f>
        <v>1029250491.5999999</v>
      </c>
      <c r="C27" s="265">
        <f>+'Distr Def'!L30</f>
        <v>1027721965.3599999</v>
      </c>
      <c r="D27" s="264">
        <f t="shared" si="0"/>
        <v>-1528526.2400000095</v>
      </c>
    </row>
    <row r="28" spans="1:4">
      <c r="A28" s="267" t="s">
        <v>218</v>
      </c>
      <c r="B28" s="265">
        <f>+'Distr Prov'!L31</f>
        <v>23471887.18</v>
      </c>
      <c r="C28" s="265">
        <f>+'Distr Def'!L31</f>
        <v>23621353.980000004</v>
      </c>
      <c r="D28" s="264">
        <f t="shared" si="0"/>
        <v>149466.80000000447</v>
      </c>
    </row>
    <row r="29" spans="1:4">
      <c r="A29" s="267" t="s">
        <v>17</v>
      </c>
      <c r="B29" s="265">
        <f>+'Distr Prov'!L32</f>
        <v>40816313.579999976</v>
      </c>
      <c r="C29" s="265">
        <f>+'Distr Def'!L32</f>
        <v>41051190.920000009</v>
      </c>
      <c r="D29" s="264">
        <f t="shared" si="0"/>
        <v>234877.34000003338</v>
      </c>
    </row>
    <row r="30" spans="1:4">
      <c r="A30" s="267" t="s">
        <v>18</v>
      </c>
      <c r="B30" s="265">
        <f>+'Distr Prov'!L33</f>
        <v>27664724.409999993</v>
      </c>
      <c r="C30" s="265">
        <f>+'Distr Def'!L33</f>
        <v>27763521.640000001</v>
      </c>
      <c r="D30" s="264">
        <f t="shared" si="0"/>
        <v>98797.230000007898</v>
      </c>
    </row>
    <row r="31" spans="1:4">
      <c r="A31" s="267" t="s">
        <v>19</v>
      </c>
      <c r="B31" s="265">
        <f>+'Distr Prov'!L34</f>
        <v>32515648.870000012</v>
      </c>
      <c r="C31" s="265">
        <f>+'Distr Def'!L34</f>
        <v>32687646.390000001</v>
      </c>
      <c r="D31" s="264">
        <f t="shared" si="0"/>
        <v>171997.51999998838</v>
      </c>
    </row>
    <row r="32" spans="1:4">
      <c r="A32" s="267" t="s">
        <v>20</v>
      </c>
      <c r="B32" s="265">
        <f>+'Distr Prov'!L35</f>
        <v>30086743.590000004</v>
      </c>
      <c r="C32" s="265">
        <f>+'Distr Def'!L35</f>
        <v>30231196.549999997</v>
      </c>
      <c r="D32" s="264">
        <f t="shared" si="0"/>
        <v>144452.95999999344</v>
      </c>
    </row>
    <row r="33" spans="1:4">
      <c r="A33" s="267" t="s">
        <v>217</v>
      </c>
      <c r="B33" s="265">
        <f>+'Distr Prov'!L36</f>
        <v>388575308.14000005</v>
      </c>
      <c r="C33" s="265">
        <f>+'Distr Def'!L36</f>
        <v>385916385.51000005</v>
      </c>
      <c r="D33" s="264">
        <f t="shared" si="0"/>
        <v>-2658922.6299999952</v>
      </c>
    </row>
    <row r="34" spans="1:4">
      <c r="A34" s="267" t="s">
        <v>216</v>
      </c>
      <c r="B34" s="265">
        <f>+'Distr Prov'!L37</f>
        <v>73943228.589999989</v>
      </c>
      <c r="C34" s="265">
        <f>+'Distr Def'!L37</f>
        <v>74053882.530000016</v>
      </c>
      <c r="D34" s="264">
        <f t="shared" si="0"/>
        <v>110653.94000002742</v>
      </c>
    </row>
    <row r="35" spans="1:4">
      <c r="A35" s="267" t="s">
        <v>22</v>
      </c>
      <c r="B35" s="265">
        <f>+'Distr Prov'!L38</f>
        <v>187484994.15000001</v>
      </c>
      <c r="C35" s="265">
        <f>+'Distr Def'!L38</f>
        <v>188455175.09000006</v>
      </c>
      <c r="D35" s="264">
        <f t="shared" ref="D35:D66" si="1">+C35-B35</f>
        <v>970180.94000005722</v>
      </c>
    </row>
    <row r="36" spans="1:4">
      <c r="A36" s="267" t="s">
        <v>215</v>
      </c>
      <c r="B36" s="265">
        <f>+'Distr Prov'!L39</f>
        <v>55428663.559999995</v>
      </c>
      <c r="C36" s="265">
        <f>+'Distr Def'!L39</f>
        <v>55654628.579999998</v>
      </c>
      <c r="D36" s="264">
        <f t="shared" si="1"/>
        <v>225965.02000000328</v>
      </c>
    </row>
    <row r="37" spans="1:4">
      <c r="A37" s="267" t="s">
        <v>23</v>
      </c>
      <c r="B37" s="265">
        <f>+'Distr Prov'!L40</f>
        <v>37897340.259999998</v>
      </c>
      <c r="C37" s="265">
        <f>+'Distr Def'!L40</f>
        <v>38320961.109999992</v>
      </c>
      <c r="D37" s="264">
        <f t="shared" si="1"/>
        <v>423620.84999999404</v>
      </c>
    </row>
    <row r="38" spans="1:4">
      <c r="A38" s="267" t="s">
        <v>24</v>
      </c>
      <c r="B38" s="265">
        <f>+'Distr Prov'!L41</f>
        <v>42964743.499999985</v>
      </c>
      <c r="C38" s="265">
        <f>+'Distr Def'!L41</f>
        <v>43115859.079999991</v>
      </c>
      <c r="D38" s="264">
        <f t="shared" si="1"/>
        <v>151115.58000000566</v>
      </c>
    </row>
    <row r="39" spans="1:4">
      <c r="A39" s="267" t="s">
        <v>25</v>
      </c>
      <c r="B39" s="265">
        <f>+'Distr Prov'!L42</f>
        <v>58286566.290000007</v>
      </c>
      <c r="C39" s="265">
        <f>+'Distr Def'!L42</f>
        <v>58521656.32</v>
      </c>
      <c r="D39" s="264">
        <f t="shared" si="1"/>
        <v>235090.02999999374</v>
      </c>
    </row>
    <row r="40" spans="1:4">
      <c r="A40" s="267" t="s">
        <v>26</v>
      </c>
      <c r="B40" s="265">
        <f>+'Distr Prov'!L43</f>
        <v>139521470.73999998</v>
      </c>
      <c r="C40" s="265">
        <f>+'Distr Def'!L43</f>
        <v>140169702.52999997</v>
      </c>
      <c r="D40" s="264">
        <f t="shared" si="1"/>
        <v>648231.78999999166</v>
      </c>
    </row>
    <row r="41" spans="1:4">
      <c r="A41" s="267" t="s">
        <v>27</v>
      </c>
      <c r="B41" s="265">
        <f>+'Distr Prov'!L44</f>
        <v>3129721421.4999995</v>
      </c>
      <c r="C41" s="265">
        <f>+'Distr Def'!L44</f>
        <v>3129993583.0700002</v>
      </c>
      <c r="D41" s="264">
        <f t="shared" si="1"/>
        <v>272161.5700006485</v>
      </c>
    </row>
    <row r="42" spans="1:4">
      <c r="A42" s="267" t="s">
        <v>214</v>
      </c>
      <c r="B42" s="265">
        <f>+'Distr Prov'!L45</f>
        <v>22211449.419999998</v>
      </c>
      <c r="C42" s="265">
        <f>+'Distr Def'!L45</f>
        <v>22158858.340000004</v>
      </c>
      <c r="D42" s="264">
        <f t="shared" si="1"/>
        <v>-52591.079999994487</v>
      </c>
    </row>
    <row r="43" spans="1:4">
      <c r="A43" s="267" t="s">
        <v>139</v>
      </c>
      <c r="B43" s="265">
        <f>+'Distr Prov'!L46</f>
        <v>107386654.01000002</v>
      </c>
      <c r="C43" s="265">
        <f>+'Distr Def'!L46</f>
        <v>106443201.94</v>
      </c>
      <c r="D43" s="264">
        <f t="shared" si="1"/>
        <v>-943452.07000002265</v>
      </c>
    </row>
    <row r="44" spans="1:4">
      <c r="A44" s="267" t="s">
        <v>213</v>
      </c>
      <c r="B44" s="265">
        <f>+'Distr Prov'!L47</f>
        <v>37526533.549999997</v>
      </c>
      <c r="C44" s="265">
        <f>+'Distr Def'!L47</f>
        <v>37633324.669999994</v>
      </c>
      <c r="D44" s="264">
        <f t="shared" si="1"/>
        <v>106791.11999999732</v>
      </c>
    </row>
    <row r="45" spans="1:4">
      <c r="A45" s="267" t="s">
        <v>28</v>
      </c>
      <c r="B45" s="265">
        <f>+'Distr Prov'!L48</f>
        <v>35482401.690000005</v>
      </c>
      <c r="C45" s="265">
        <f>+'Distr Def'!L48</f>
        <v>35657045.789999999</v>
      </c>
      <c r="D45" s="264">
        <f t="shared" si="1"/>
        <v>174644.09999999404</v>
      </c>
    </row>
    <row r="46" spans="1:4">
      <c r="A46" s="267" t="s">
        <v>29</v>
      </c>
      <c r="B46" s="265">
        <f>+'Distr Prov'!L49</f>
        <v>98554002.860000029</v>
      </c>
      <c r="C46" s="265">
        <f>+'Distr Def'!L49</f>
        <v>99136555.320000008</v>
      </c>
      <c r="D46" s="264">
        <f t="shared" si="1"/>
        <v>582552.45999997854</v>
      </c>
    </row>
    <row r="47" spans="1:4">
      <c r="A47" s="267" t="s">
        <v>30</v>
      </c>
      <c r="B47" s="265">
        <f>+'Distr Prov'!L50</f>
        <v>122157164.20999998</v>
      </c>
      <c r="C47" s="265">
        <f>+'Distr Def'!L50</f>
        <v>121774756.42</v>
      </c>
      <c r="D47" s="264">
        <f t="shared" si="1"/>
        <v>-382407.78999997675</v>
      </c>
    </row>
    <row r="48" spans="1:4">
      <c r="A48" s="267" t="s">
        <v>212</v>
      </c>
      <c r="B48" s="265">
        <f>+'Distr Prov'!L51</f>
        <v>835797164.26999974</v>
      </c>
      <c r="C48" s="265">
        <f>+'Distr Def'!L51</f>
        <v>837266577.13</v>
      </c>
      <c r="D48" s="264">
        <f t="shared" si="1"/>
        <v>1469412.8600002527</v>
      </c>
    </row>
    <row r="49" spans="1:4">
      <c r="A49" s="267" t="s">
        <v>211</v>
      </c>
      <c r="B49" s="265">
        <f>+'Distr Prov'!L52</f>
        <v>1667071710.2100003</v>
      </c>
      <c r="C49" s="265">
        <f>+'Distr Def'!L52</f>
        <v>1668154275.3300002</v>
      </c>
      <c r="D49" s="264">
        <f t="shared" si="1"/>
        <v>1082565.1199998856</v>
      </c>
    </row>
    <row r="50" spans="1:4">
      <c r="A50" s="267" t="s">
        <v>31</v>
      </c>
      <c r="B50" s="265">
        <f>+'Distr Prov'!L53</f>
        <v>513131243.48000008</v>
      </c>
      <c r="C50" s="265">
        <f>+'Distr Def'!L53</f>
        <v>511905437.12</v>
      </c>
      <c r="D50" s="264">
        <f t="shared" si="1"/>
        <v>-1225806.3600000739</v>
      </c>
    </row>
    <row r="51" spans="1:4">
      <c r="A51" s="267" t="s">
        <v>32</v>
      </c>
      <c r="B51" s="265">
        <f>+'Distr Prov'!L54</f>
        <v>174752922.11000001</v>
      </c>
      <c r="C51" s="265">
        <f>+'Distr Def'!L54</f>
        <v>174362442.74999997</v>
      </c>
      <c r="D51" s="264">
        <f t="shared" si="1"/>
        <v>-390479.36000004411</v>
      </c>
    </row>
    <row r="52" spans="1:4">
      <c r="A52" s="267" t="s">
        <v>33</v>
      </c>
      <c r="B52" s="265">
        <f>+'Distr Prov'!L55</f>
        <v>34560521.840000004</v>
      </c>
      <c r="C52" s="265">
        <f>+'Distr Def'!L55</f>
        <v>34514551.850000009</v>
      </c>
      <c r="D52" s="264">
        <f t="shared" si="1"/>
        <v>-45969.989999994636</v>
      </c>
    </row>
    <row r="53" spans="1:4" ht="15.75" thickBot="1">
      <c r="A53" s="266" t="s">
        <v>34</v>
      </c>
      <c r="B53" s="265">
        <f>+'Distr Prov'!L56</f>
        <v>42060318.389999978</v>
      </c>
      <c r="C53" s="265">
        <f>+'Distr Def'!L56</f>
        <v>42176432.360000007</v>
      </c>
      <c r="D53" s="264">
        <f t="shared" si="1"/>
        <v>116113.97000002861</v>
      </c>
    </row>
    <row r="54" spans="1:4" ht="15.75" thickBot="1">
      <c r="A54" s="263" t="s">
        <v>36</v>
      </c>
      <c r="B54" s="262">
        <f>SUM(B3:B53)</f>
        <v>12421208931.380001</v>
      </c>
      <c r="C54" s="262">
        <f>SUM(C3:C53)</f>
        <v>12421208931.080002</v>
      </c>
      <c r="D54" s="262">
        <f>SUM(D3:D53)</f>
        <v>-0.29999896883964539</v>
      </c>
    </row>
  </sheetData>
  <mergeCells count="1">
    <mergeCell ref="A1:D1"/>
  </mergeCells>
  <printOptions horizontalCentered="1"/>
  <pageMargins left="0.70866141732283472" right="0.70866141732283472" top="0.35433070866141736" bottom="0.31496062992125984" header="0.15748031496062992" footer="0.31496062992125984"/>
  <pageSetup scale="85" orientation="portrait" r:id="rId1"/>
  <headerFooter>
    <oddHeader>&amp;LANEXO IV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A3A2-3546-4EBD-A31F-6564E69F7A80}">
  <dimension ref="A1:K57"/>
  <sheetViews>
    <sheetView showGridLines="0" tabSelected="1" workbookViewId="0">
      <selection activeCell="E8" sqref="E8"/>
    </sheetView>
  </sheetViews>
  <sheetFormatPr baseColWidth="10" defaultRowHeight="15"/>
  <cols>
    <col min="1" max="1" width="26.5703125" style="261" customWidth="1"/>
    <col min="2" max="2" width="16" style="272" customWidth="1"/>
    <col min="3" max="3" width="16" style="290" customWidth="1"/>
    <col min="4" max="11" width="16" style="261" customWidth="1"/>
    <col min="12" max="16384" width="11.42578125" style="261"/>
  </cols>
  <sheetData>
    <row r="1" spans="1:11" ht="15.75" thickBot="1">
      <c r="A1" s="314" t="s">
        <v>234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39.75" customHeight="1" thickBot="1">
      <c r="A2" s="288" t="s">
        <v>152</v>
      </c>
      <c r="B2" s="287" t="s">
        <v>153</v>
      </c>
      <c r="C2" s="286" t="s">
        <v>154</v>
      </c>
      <c r="D2" s="286" t="s">
        <v>155</v>
      </c>
      <c r="E2" s="286" t="s">
        <v>156</v>
      </c>
      <c r="F2" s="286" t="s">
        <v>157</v>
      </c>
      <c r="G2" s="286" t="s">
        <v>158</v>
      </c>
      <c r="H2" s="286" t="s">
        <v>159</v>
      </c>
      <c r="I2" s="286" t="s">
        <v>233</v>
      </c>
      <c r="J2" s="286" t="s">
        <v>232</v>
      </c>
      <c r="K2" s="285" t="s">
        <v>36</v>
      </c>
    </row>
    <row r="3" spans="1:11">
      <c r="A3" s="284" t="s">
        <v>1</v>
      </c>
      <c r="B3" s="283">
        <f>ROUND(+'Distr Def'!C6-'Distr Prov'!C6,2)</f>
        <v>42034.41</v>
      </c>
      <c r="C3" s="283">
        <f>ROUND(+'Distr Def'!D6-'Distr Prov'!D6,2)</f>
        <v>0.01</v>
      </c>
      <c r="D3" s="283">
        <f>ROUND(+'Distr Def'!E6-'Distr Prov'!E6,2)</f>
        <v>0.02</v>
      </c>
      <c r="E3" s="283">
        <f>ROUND(+'Distr Def'!F6-'Distr Prov'!F6,2)</f>
        <v>-0.01</v>
      </c>
      <c r="F3" s="283">
        <f>ROUND(+'Distr Def'!G6-'Distr Prov'!G6,2)</f>
        <v>31893.11</v>
      </c>
      <c r="G3" s="283">
        <f>ROUND(+'Distr Def'!H6-'Distr Prov'!H6,2)</f>
        <v>-0.01</v>
      </c>
      <c r="H3" s="283">
        <f>ROUND(+'Distr Def'!I6-'Distr Prov'!I6,2)</f>
        <v>0.05</v>
      </c>
      <c r="I3" s="283">
        <f>ROUND(+'Distr Def'!J6-'Distr Prov'!J6,2)</f>
        <v>0.06</v>
      </c>
      <c r="J3" s="283">
        <f>ROUND(+'Distr Def'!K6-'Distr Prov'!K6,2)</f>
        <v>0.03</v>
      </c>
      <c r="K3" s="282">
        <f t="shared" ref="K3:K34" si="0">+B3+C3+D3+E3+F3+I3+G3+H3+J3</f>
        <v>73927.670000000013</v>
      </c>
    </row>
    <row r="4" spans="1:11">
      <c r="A4" s="281" t="s">
        <v>2</v>
      </c>
      <c r="B4" s="280">
        <f>ROUND(+'Distr Def'!C7-'Distr Prov'!C7,2)</f>
        <v>89633.63</v>
      </c>
      <c r="C4" s="280">
        <f>ROUND(+'Distr Def'!D7-'Distr Prov'!D7,2)</f>
        <v>0.06</v>
      </c>
      <c r="D4" s="280">
        <f>ROUND(+'Distr Def'!E7-'Distr Prov'!E7,2)</f>
        <v>0.01</v>
      </c>
      <c r="E4" s="280">
        <f>ROUND(+'Distr Def'!F7-'Distr Prov'!F7,2)</f>
        <v>0.02</v>
      </c>
      <c r="F4" s="280">
        <f>ROUND(+'Distr Def'!G7-'Distr Prov'!G7,2)</f>
        <v>68008.37</v>
      </c>
      <c r="G4" s="280">
        <f>ROUND(+'Distr Def'!H7-'Distr Prov'!H7,2)</f>
        <v>0.04</v>
      </c>
      <c r="H4" s="280">
        <f>ROUND(+'Distr Def'!I7-'Distr Prov'!I7,2)</f>
        <v>0.09</v>
      </c>
      <c r="I4" s="280">
        <f>ROUND(+'Distr Def'!J7-'Distr Prov'!J7,2)</f>
        <v>0.02</v>
      </c>
      <c r="J4" s="280">
        <f>ROUND(+'Distr Def'!K7-'Distr Prov'!K7,2)</f>
        <v>-0.01</v>
      </c>
      <c r="K4" s="279">
        <f t="shared" si="0"/>
        <v>157642.22999999998</v>
      </c>
    </row>
    <row r="5" spans="1:11">
      <c r="A5" s="281" t="s">
        <v>225</v>
      </c>
      <c r="B5" s="280">
        <f>ROUND(+'Distr Def'!C8-'Distr Prov'!C8,2)</f>
        <v>73121.240000000005</v>
      </c>
      <c r="C5" s="280">
        <f>ROUND(+'Distr Def'!D8-'Distr Prov'!D8,2)</f>
        <v>7.0000000000000007E-2</v>
      </c>
      <c r="D5" s="280">
        <f>ROUND(+'Distr Def'!E8-'Distr Prov'!E8,2)</f>
        <v>0.01</v>
      </c>
      <c r="E5" s="280">
        <f>ROUND(+'Distr Def'!F8-'Distr Prov'!F8,2)</f>
        <v>0.04</v>
      </c>
      <c r="F5" s="280">
        <f>ROUND(+'Distr Def'!G8-'Distr Prov'!G8,2)</f>
        <v>55479.78</v>
      </c>
      <c r="G5" s="280">
        <f>ROUND(+'Distr Def'!H8-'Distr Prov'!H8,2)</f>
        <v>0.02</v>
      </c>
      <c r="H5" s="280">
        <f>ROUND(+'Distr Def'!I8-'Distr Prov'!I8,2)</f>
        <v>0.08</v>
      </c>
      <c r="I5" s="280">
        <f>ROUND(+'Distr Def'!J8-'Distr Prov'!J8,2)</f>
        <v>0.04</v>
      </c>
      <c r="J5" s="280">
        <f>ROUND(+'Distr Def'!K8-'Distr Prov'!K8,2)</f>
        <v>0</v>
      </c>
      <c r="K5" s="279">
        <f t="shared" si="0"/>
        <v>128601.28</v>
      </c>
    </row>
    <row r="6" spans="1:11">
      <c r="A6" s="281" t="s">
        <v>3</v>
      </c>
      <c r="B6" s="280">
        <f>ROUND(+'Distr Def'!C9-'Distr Prov'!C9,2)</f>
        <v>134512.76999999999</v>
      </c>
      <c r="C6" s="280">
        <f>ROUND(+'Distr Def'!D9-'Distr Prov'!D9,2)</f>
        <v>0.04</v>
      </c>
      <c r="D6" s="280">
        <f>ROUND(+'Distr Def'!E9-'Distr Prov'!E9,2)</f>
        <v>0.01</v>
      </c>
      <c r="E6" s="280">
        <f>ROUND(+'Distr Def'!F9-'Distr Prov'!F9,2)</f>
        <v>0.03</v>
      </c>
      <c r="F6" s="280">
        <f>ROUND(+'Distr Def'!G9-'Distr Prov'!G9,2)</f>
        <v>102059.69</v>
      </c>
      <c r="G6" s="280">
        <f>ROUND(+'Distr Def'!H9-'Distr Prov'!H9,2)</f>
        <v>0.03</v>
      </c>
      <c r="H6" s="280">
        <f>ROUND(+'Distr Def'!I9-'Distr Prov'!I9,2)</f>
        <v>0</v>
      </c>
      <c r="I6" s="280">
        <f>ROUND(+'Distr Def'!J9-'Distr Prov'!J9,2)</f>
        <v>0.01</v>
      </c>
      <c r="J6" s="280">
        <f>ROUND(+'Distr Def'!K9-'Distr Prov'!K9,2)</f>
        <v>0.02</v>
      </c>
      <c r="K6" s="279">
        <f t="shared" si="0"/>
        <v>236572.6</v>
      </c>
    </row>
    <row r="7" spans="1:11">
      <c r="A7" s="281" t="s">
        <v>224</v>
      </c>
      <c r="B7" s="280">
        <f>ROUND(+'Distr Def'!C10-'Distr Prov'!C10,2)</f>
        <v>281726.96000000002</v>
      </c>
      <c r="C7" s="280">
        <f>ROUND(+'Distr Def'!D10-'Distr Prov'!D10,2)</f>
        <v>0.06</v>
      </c>
      <c r="D7" s="280">
        <f>ROUND(+'Distr Def'!E10-'Distr Prov'!E10,2)</f>
        <v>-0.05</v>
      </c>
      <c r="E7" s="280">
        <f>ROUND(+'Distr Def'!F10-'Distr Prov'!F10,2)</f>
        <v>0.03</v>
      </c>
      <c r="F7" s="280">
        <f>ROUND(+'Distr Def'!G10-'Distr Prov'!G10,2)</f>
        <v>213756.54</v>
      </c>
      <c r="G7" s="280">
        <f>ROUND(+'Distr Def'!H10-'Distr Prov'!H10,2)</f>
        <v>0.04</v>
      </c>
      <c r="H7" s="280">
        <f>ROUND(+'Distr Def'!I10-'Distr Prov'!I10,2)</f>
        <v>0</v>
      </c>
      <c r="I7" s="280">
        <f>ROUND(+'Distr Def'!J10-'Distr Prov'!J10,2)</f>
        <v>0.06</v>
      </c>
      <c r="J7" s="280">
        <f>ROUND(+'Distr Def'!K10-'Distr Prov'!K10,2)</f>
        <v>0.01</v>
      </c>
      <c r="K7" s="279">
        <f t="shared" si="0"/>
        <v>495483.65</v>
      </c>
    </row>
    <row r="8" spans="1:11">
      <c r="A8" s="281" t="s">
        <v>4</v>
      </c>
      <c r="B8" s="280">
        <f>ROUND(+'Distr Def'!C11-'Distr Prov'!C11,2)</f>
        <v>-1307817.03</v>
      </c>
      <c r="C8" s="280">
        <f>ROUND(+'Distr Def'!D11-'Distr Prov'!D11,2)</f>
        <v>-0.14000000000000001</v>
      </c>
      <c r="D8" s="280">
        <f>ROUND(+'Distr Def'!E11-'Distr Prov'!E11,2)</f>
        <v>-0.09</v>
      </c>
      <c r="E8" s="280">
        <f>ROUND(+'Distr Def'!F11-'Distr Prov'!F11,2)</f>
        <v>-0.13</v>
      </c>
      <c r="F8" s="280">
        <f>ROUND(+'Distr Def'!G11-'Distr Prov'!G11,2)</f>
        <v>-992288.62</v>
      </c>
      <c r="G8" s="280">
        <f>ROUND(+'Distr Def'!H11-'Distr Prov'!H11,2)</f>
        <v>-0.1</v>
      </c>
      <c r="H8" s="280">
        <f>ROUND(+'Distr Def'!I11-'Distr Prov'!I11,2)</f>
        <v>-0.03</v>
      </c>
      <c r="I8" s="280">
        <f>ROUND(+'Distr Def'!J11-'Distr Prov'!J11,2)</f>
        <v>-0.25</v>
      </c>
      <c r="J8" s="280">
        <f>ROUND(+'Distr Def'!K11-'Distr Prov'!K11,2)</f>
        <v>-0.08</v>
      </c>
      <c r="K8" s="279">
        <f t="shared" si="0"/>
        <v>-2300106.4699999997</v>
      </c>
    </row>
    <row r="9" spans="1:11">
      <c r="A9" s="281" t="s">
        <v>5</v>
      </c>
      <c r="B9" s="280">
        <f>ROUND(+'Distr Def'!C12-'Distr Prov'!C12,2)</f>
        <v>409489.63</v>
      </c>
      <c r="C9" s="280">
        <f>ROUND(+'Distr Def'!D12-'Distr Prov'!D12,2)</f>
        <v>0.04</v>
      </c>
      <c r="D9" s="280">
        <f>ROUND(+'Distr Def'!E12-'Distr Prov'!E12,2)</f>
        <v>0.02</v>
      </c>
      <c r="E9" s="280">
        <f>ROUND(+'Distr Def'!F12-'Distr Prov'!F12,2)</f>
        <v>0.04</v>
      </c>
      <c r="F9" s="280">
        <f>ROUND(+'Distr Def'!G12-'Distr Prov'!G12,2)</f>
        <v>310694.81</v>
      </c>
      <c r="G9" s="280">
        <f>ROUND(+'Distr Def'!H12-'Distr Prov'!H12,2)</f>
        <v>0.04</v>
      </c>
      <c r="H9" s="280">
        <f>ROUND(+'Distr Def'!I12-'Distr Prov'!I12,2)</f>
        <v>0.01</v>
      </c>
      <c r="I9" s="280">
        <f>ROUND(+'Distr Def'!J12-'Distr Prov'!J12,2)</f>
        <v>0.05</v>
      </c>
      <c r="J9" s="280">
        <f>ROUND(+'Distr Def'!K12-'Distr Prov'!K12,2)</f>
        <v>0.02</v>
      </c>
      <c r="K9" s="279">
        <f t="shared" si="0"/>
        <v>720184.66000000015</v>
      </c>
    </row>
    <row r="10" spans="1:11">
      <c r="A10" s="281" t="s">
        <v>6</v>
      </c>
      <c r="B10" s="280">
        <f>ROUND(+'Distr Def'!C13-'Distr Prov'!C13,2)</f>
        <v>-3556.67</v>
      </c>
      <c r="C10" s="280">
        <f>ROUND(+'Distr Def'!D13-'Distr Prov'!D13,2)</f>
        <v>0.02</v>
      </c>
      <c r="D10" s="280">
        <f>ROUND(+'Distr Def'!E13-'Distr Prov'!E13,2)</f>
        <v>-0.12</v>
      </c>
      <c r="E10" s="280">
        <f>ROUND(+'Distr Def'!F13-'Distr Prov'!F13,2)</f>
        <v>0.01</v>
      </c>
      <c r="F10" s="280">
        <f>ROUND(+'Distr Def'!G13-'Distr Prov'!G13,2)</f>
        <v>-2698.53</v>
      </c>
      <c r="G10" s="280">
        <f>ROUND(+'Distr Def'!H13-'Distr Prov'!H13,2)</f>
        <v>0.03</v>
      </c>
      <c r="H10" s="280">
        <f>ROUND(+'Distr Def'!I13-'Distr Prov'!I13,2)</f>
        <v>0.04</v>
      </c>
      <c r="I10" s="280">
        <f>ROUND(+'Distr Def'!J13-'Distr Prov'!J13,2)</f>
        <v>7.0000000000000007E-2</v>
      </c>
      <c r="J10" s="280">
        <f>ROUND(+'Distr Def'!K13-'Distr Prov'!K13,2)</f>
        <v>0.05</v>
      </c>
      <c r="K10" s="279">
        <f t="shared" si="0"/>
        <v>-6255.1</v>
      </c>
    </row>
    <row r="11" spans="1:11">
      <c r="A11" s="281" t="s">
        <v>223</v>
      </c>
      <c r="B11" s="280">
        <f>ROUND(+'Distr Def'!C14-'Distr Prov'!C14,2)</f>
        <v>274247.57</v>
      </c>
      <c r="C11" s="280">
        <f>ROUND(+'Distr Def'!D14-'Distr Prov'!D14,2)</f>
        <v>-0.01</v>
      </c>
      <c r="D11" s="280">
        <f>ROUND(+'Distr Def'!E14-'Distr Prov'!E14,2)</f>
        <v>0.02</v>
      </c>
      <c r="E11" s="280">
        <f>ROUND(+'Distr Def'!F14-'Distr Prov'!F14,2)</f>
        <v>0.04</v>
      </c>
      <c r="F11" s="280">
        <f>ROUND(+'Distr Def'!G14-'Distr Prov'!G14,2)</f>
        <v>208081.6</v>
      </c>
      <c r="G11" s="280">
        <f>ROUND(+'Distr Def'!H14-'Distr Prov'!H14,2)</f>
        <v>0.02</v>
      </c>
      <c r="H11" s="280">
        <f>ROUND(+'Distr Def'!I14-'Distr Prov'!I14,2)</f>
        <v>-0.01</v>
      </c>
      <c r="I11" s="280">
        <f>ROUND(+'Distr Def'!J14-'Distr Prov'!J14,2)</f>
        <v>0.02</v>
      </c>
      <c r="J11" s="280">
        <f>ROUND(+'Distr Def'!K14-'Distr Prov'!K14,2)</f>
        <v>0.01</v>
      </c>
      <c r="K11" s="279">
        <f t="shared" si="0"/>
        <v>482329.26</v>
      </c>
    </row>
    <row r="12" spans="1:11">
      <c r="A12" s="281" t="s">
        <v>129</v>
      </c>
      <c r="B12" s="280">
        <f>ROUND(+'Distr Def'!C15-'Distr Prov'!C15,2)</f>
        <v>-514513.06</v>
      </c>
      <c r="C12" s="280">
        <f>ROUND(+'Distr Def'!D15-'Distr Prov'!D15,2)</f>
        <v>0.03</v>
      </c>
      <c r="D12" s="280">
        <f>ROUND(+'Distr Def'!E15-'Distr Prov'!E15,2)</f>
        <v>-0.02</v>
      </c>
      <c r="E12" s="280">
        <f>ROUND(+'Distr Def'!F15-'Distr Prov'!F15,2)</f>
        <v>0.02</v>
      </c>
      <c r="F12" s="280">
        <f>ROUND(+'Distr Def'!G15-'Distr Prov'!G15,2)</f>
        <v>-390379.75</v>
      </c>
      <c r="G12" s="280">
        <f>ROUND(+'Distr Def'!H15-'Distr Prov'!H15,2)</f>
        <v>0</v>
      </c>
      <c r="H12" s="280">
        <f>ROUND(+'Distr Def'!I15-'Distr Prov'!I15,2)</f>
        <v>-0.04</v>
      </c>
      <c r="I12" s="280">
        <f>ROUND(+'Distr Def'!J15-'Distr Prov'!J15,2)</f>
        <v>0.02</v>
      </c>
      <c r="J12" s="280">
        <f>ROUND(+'Distr Def'!K15-'Distr Prov'!K15,2)</f>
        <v>0</v>
      </c>
      <c r="K12" s="279">
        <f t="shared" si="0"/>
        <v>-904892.8</v>
      </c>
    </row>
    <row r="13" spans="1:11">
      <c r="A13" s="281" t="s">
        <v>130</v>
      </c>
      <c r="B13" s="280">
        <f>ROUND(+'Distr Def'!C16-'Distr Prov'!C16,2)</f>
        <v>27822.19</v>
      </c>
      <c r="C13" s="280">
        <f>ROUND(+'Distr Def'!D16-'Distr Prov'!D16,2)</f>
        <v>0.06</v>
      </c>
      <c r="D13" s="280">
        <f>ROUND(+'Distr Def'!E16-'Distr Prov'!E16,2)</f>
        <v>0.03</v>
      </c>
      <c r="E13" s="280">
        <f>ROUND(+'Distr Def'!F16-'Distr Prov'!F16,2)</f>
        <v>0.02</v>
      </c>
      <c r="F13" s="280">
        <f>ROUND(+'Distr Def'!G16-'Distr Prov'!G16,2)</f>
        <v>21109.7</v>
      </c>
      <c r="G13" s="280">
        <f>ROUND(+'Distr Def'!H16-'Distr Prov'!H16,2)</f>
        <v>0.03</v>
      </c>
      <c r="H13" s="280">
        <f>ROUND(+'Distr Def'!I16-'Distr Prov'!I16,2)</f>
        <v>-0.03</v>
      </c>
      <c r="I13" s="280">
        <f>ROUND(+'Distr Def'!J16-'Distr Prov'!J16,2)</f>
        <v>7.0000000000000007E-2</v>
      </c>
      <c r="J13" s="280">
        <f>ROUND(+'Distr Def'!K16-'Distr Prov'!K16,2)</f>
        <v>0.04</v>
      </c>
      <c r="K13" s="279">
        <f t="shared" si="0"/>
        <v>48932.11</v>
      </c>
    </row>
    <row r="14" spans="1:11">
      <c r="A14" s="281" t="s">
        <v>7</v>
      </c>
      <c r="B14" s="280">
        <f>ROUND(+'Distr Def'!C17-'Distr Prov'!C17,2)</f>
        <v>269425.48</v>
      </c>
      <c r="C14" s="280">
        <f>ROUND(+'Distr Def'!D17-'Distr Prov'!D17,2)</f>
        <v>0.02</v>
      </c>
      <c r="D14" s="280">
        <f>ROUND(+'Distr Def'!E17-'Distr Prov'!E17,2)</f>
        <v>0.03</v>
      </c>
      <c r="E14" s="280">
        <f>ROUND(+'Distr Def'!F17-'Distr Prov'!F17,2)</f>
        <v>0.04</v>
      </c>
      <c r="F14" s="280">
        <f>ROUND(+'Distr Def'!G17-'Distr Prov'!G17,2)</f>
        <v>204422.96</v>
      </c>
      <c r="G14" s="280">
        <f>ROUND(+'Distr Def'!H17-'Distr Prov'!H17,2)</f>
        <v>0.01</v>
      </c>
      <c r="H14" s="280">
        <f>ROUND(+'Distr Def'!I17-'Distr Prov'!I17,2)</f>
        <v>0.01</v>
      </c>
      <c r="I14" s="280">
        <f>ROUND(+'Distr Def'!J17-'Distr Prov'!J17,2)</f>
        <v>0.01</v>
      </c>
      <c r="J14" s="280">
        <f>ROUND(+'Distr Def'!K17-'Distr Prov'!K17,2)</f>
        <v>0.01</v>
      </c>
      <c r="K14" s="279">
        <f t="shared" si="0"/>
        <v>473848.57000000007</v>
      </c>
    </row>
    <row r="15" spans="1:11">
      <c r="A15" s="281" t="s">
        <v>222</v>
      </c>
      <c r="B15" s="280">
        <f>ROUND(+'Distr Def'!C18-'Distr Prov'!C18,2)</f>
        <v>-192604.71</v>
      </c>
      <c r="C15" s="280">
        <f>ROUND(+'Distr Def'!D18-'Distr Prov'!D18,2)</f>
        <v>0.02</v>
      </c>
      <c r="D15" s="280">
        <f>ROUND(+'Distr Def'!E18-'Distr Prov'!E18,2)</f>
        <v>0.04</v>
      </c>
      <c r="E15" s="280">
        <f>ROUND(+'Distr Def'!F18-'Distr Prov'!F18,2)</f>
        <v>0.01</v>
      </c>
      <c r="F15" s="280">
        <f>ROUND(+'Distr Def'!G18-'Distr Prov'!G18,2)</f>
        <v>-146136.22</v>
      </c>
      <c r="G15" s="280">
        <f>ROUND(+'Distr Def'!H18-'Distr Prov'!H18,2)</f>
        <v>0.04</v>
      </c>
      <c r="H15" s="280">
        <f>ROUND(+'Distr Def'!I18-'Distr Prov'!I18,2)</f>
        <v>0.01</v>
      </c>
      <c r="I15" s="280">
        <f>ROUND(+'Distr Def'!J18-'Distr Prov'!J18,2)</f>
        <v>0.06</v>
      </c>
      <c r="J15" s="280">
        <f>ROUND(+'Distr Def'!K18-'Distr Prov'!K18,2)</f>
        <v>-0.01</v>
      </c>
      <c r="K15" s="279">
        <f t="shared" si="0"/>
        <v>-338740.76</v>
      </c>
    </row>
    <row r="16" spans="1:11">
      <c r="A16" s="281" t="s">
        <v>8</v>
      </c>
      <c r="B16" s="280">
        <f>ROUND(+'Distr Def'!C19-'Distr Prov'!C19,2)</f>
        <v>931040.12</v>
      </c>
      <c r="C16" s="280">
        <f>ROUND(+'Distr Def'!D19-'Distr Prov'!D19,2)</f>
        <v>0.05</v>
      </c>
      <c r="D16" s="280">
        <f>ROUND(+'Distr Def'!E19-'Distr Prov'!E19,2)</f>
        <v>0.02</v>
      </c>
      <c r="E16" s="280">
        <f>ROUND(+'Distr Def'!F19-'Distr Prov'!F19,2)</f>
        <v>0.01</v>
      </c>
      <c r="F16" s="280">
        <f>ROUND(+'Distr Def'!G19-'Distr Prov'!G19,2)</f>
        <v>706414.07</v>
      </c>
      <c r="G16" s="280">
        <f>ROUND(+'Distr Def'!H19-'Distr Prov'!H19,2)</f>
        <v>0.01</v>
      </c>
      <c r="H16" s="280">
        <f>ROUND(+'Distr Def'!I19-'Distr Prov'!I19,2)</f>
        <v>0.03</v>
      </c>
      <c r="I16" s="280">
        <f>ROUND(+'Distr Def'!J19-'Distr Prov'!J19,2)</f>
        <v>0.03</v>
      </c>
      <c r="J16" s="280">
        <f>ROUND(+'Distr Def'!K19-'Distr Prov'!K19,2)</f>
        <v>0</v>
      </c>
      <c r="K16" s="279">
        <f t="shared" si="0"/>
        <v>1637454.34</v>
      </c>
    </row>
    <row r="17" spans="1:11">
      <c r="A17" s="281" t="s">
        <v>9</v>
      </c>
      <c r="B17" s="280">
        <f>ROUND(+'Distr Def'!C20-'Distr Prov'!C20,2)</f>
        <v>105411.68</v>
      </c>
      <c r="C17" s="280">
        <f>ROUND(+'Distr Def'!D20-'Distr Prov'!D20,2)</f>
        <v>0.05</v>
      </c>
      <c r="D17" s="280">
        <f>ROUND(+'Distr Def'!E20-'Distr Prov'!E20,2)</f>
        <v>0.05</v>
      </c>
      <c r="E17" s="280">
        <f>ROUND(+'Distr Def'!F20-'Distr Prov'!F20,2)</f>
        <v>0.03</v>
      </c>
      <c r="F17" s="280">
        <f>ROUND(+'Distr Def'!G20-'Distr Prov'!G20,2)</f>
        <v>79979.8</v>
      </c>
      <c r="G17" s="280">
        <f>ROUND(+'Distr Def'!H20-'Distr Prov'!H20,2)</f>
        <v>0.05</v>
      </c>
      <c r="H17" s="280">
        <f>ROUND(+'Distr Def'!I20-'Distr Prov'!I20,2)</f>
        <v>0.01</v>
      </c>
      <c r="I17" s="280">
        <f>ROUND(+'Distr Def'!J20-'Distr Prov'!J20,2)</f>
        <v>0.05</v>
      </c>
      <c r="J17" s="280">
        <f>ROUND(+'Distr Def'!K20-'Distr Prov'!K20,2)</f>
        <v>0.01</v>
      </c>
      <c r="K17" s="279">
        <f t="shared" si="0"/>
        <v>185391.72999999998</v>
      </c>
    </row>
    <row r="18" spans="1:11">
      <c r="A18" s="281" t="s">
        <v>221</v>
      </c>
      <c r="B18" s="280">
        <f>ROUND(+'Distr Def'!C21-'Distr Prov'!C21,2)</f>
        <v>77143.06</v>
      </c>
      <c r="C18" s="280">
        <f>ROUND(+'Distr Def'!D21-'Distr Prov'!D21,2)</f>
        <v>0.05</v>
      </c>
      <c r="D18" s="280">
        <f>ROUND(+'Distr Def'!E21-'Distr Prov'!E21,2)</f>
        <v>0.05</v>
      </c>
      <c r="E18" s="280">
        <f>ROUND(+'Distr Def'!F21-'Distr Prov'!F21,2)</f>
        <v>0.04</v>
      </c>
      <c r="F18" s="280">
        <f>ROUND(+'Distr Def'!G21-'Distr Prov'!G21,2)</f>
        <v>58531.31</v>
      </c>
      <c r="G18" s="280">
        <f>ROUND(+'Distr Def'!H21-'Distr Prov'!H21,2)</f>
        <v>0.03</v>
      </c>
      <c r="H18" s="280">
        <f>ROUND(+'Distr Def'!I21-'Distr Prov'!I21,2)</f>
        <v>0.05</v>
      </c>
      <c r="I18" s="280">
        <f>ROUND(+'Distr Def'!J21-'Distr Prov'!J21,2)</f>
        <v>0.06</v>
      </c>
      <c r="J18" s="280">
        <f>ROUND(+'Distr Def'!K21-'Distr Prov'!K21,2)</f>
        <v>0.03</v>
      </c>
      <c r="K18" s="279">
        <f t="shared" si="0"/>
        <v>135674.68</v>
      </c>
    </row>
    <row r="19" spans="1:11">
      <c r="A19" s="281" t="s">
        <v>10</v>
      </c>
      <c r="B19" s="280">
        <f>ROUND(+'Distr Def'!C22-'Distr Prov'!C22,2)</f>
        <v>601413.93000000005</v>
      </c>
      <c r="C19" s="280">
        <f>ROUND(+'Distr Def'!D22-'Distr Prov'!D22,2)</f>
        <v>0.03</v>
      </c>
      <c r="D19" s="280">
        <f>ROUND(+'Distr Def'!E22-'Distr Prov'!E22,2)</f>
        <v>0.04</v>
      </c>
      <c r="E19" s="280">
        <f>ROUND(+'Distr Def'!F22-'Distr Prov'!F22,2)</f>
        <v>0.03</v>
      </c>
      <c r="F19" s="280">
        <f>ROUND(+'Distr Def'!G22-'Distr Prov'!G22,2)</f>
        <v>456314.73</v>
      </c>
      <c r="G19" s="280">
        <f>ROUND(+'Distr Def'!H22-'Distr Prov'!H22,2)</f>
        <v>0</v>
      </c>
      <c r="H19" s="280">
        <f>ROUND(+'Distr Def'!I22-'Distr Prov'!I22,2)</f>
        <v>0</v>
      </c>
      <c r="I19" s="280">
        <f>ROUND(+'Distr Def'!J22-'Distr Prov'!J22,2)</f>
        <v>0.06</v>
      </c>
      <c r="J19" s="280">
        <f>ROUND(+'Distr Def'!K22-'Distr Prov'!K22,2)</f>
        <v>-0.02</v>
      </c>
      <c r="K19" s="279">
        <f t="shared" si="0"/>
        <v>1057728.8000000003</v>
      </c>
    </row>
    <row r="20" spans="1:11">
      <c r="A20" s="281" t="s">
        <v>220</v>
      </c>
      <c r="B20" s="280">
        <f>ROUND(+'Distr Def'!C23-'Distr Prov'!C23,2)</f>
        <v>-1061792.67</v>
      </c>
      <c r="C20" s="280">
        <f>ROUND(+'Distr Def'!D23-'Distr Prov'!D23,2)</f>
        <v>-0.09</v>
      </c>
      <c r="D20" s="280">
        <f>ROUND(+'Distr Def'!E23-'Distr Prov'!E23,2)</f>
        <v>0.01</v>
      </c>
      <c r="E20" s="280">
        <f>ROUND(+'Distr Def'!F23-'Distr Prov'!F23,2)</f>
        <v>-7.0000000000000007E-2</v>
      </c>
      <c r="F20" s="280">
        <f>ROUND(+'Distr Def'!G23-'Distr Prov'!G23,2)</f>
        <v>-805620.81</v>
      </c>
      <c r="G20" s="280">
        <f>ROUND(+'Distr Def'!H23-'Distr Prov'!H23,2)</f>
        <v>-0.06</v>
      </c>
      <c r="H20" s="280">
        <f>ROUND(+'Distr Def'!I23-'Distr Prov'!I23,2)</f>
        <v>0.01</v>
      </c>
      <c r="I20" s="280">
        <f>ROUND(+'Distr Def'!J23-'Distr Prov'!J23,2)</f>
        <v>-0.11</v>
      </c>
      <c r="J20" s="280">
        <f>ROUND(+'Distr Def'!K23-'Distr Prov'!K23,2)</f>
        <v>-0.03</v>
      </c>
      <c r="K20" s="279">
        <f t="shared" si="0"/>
        <v>-1867413.8200000003</v>
      </c>
    </row>
    <row r="21" spans="1:11">
      <c r="A21" s="281" t="s">
        <v>11</v>
      </c>
      <c r="B21" s="280">
        <f>ROUND(+'Distr Def'!C24-'Distr Prov'!C24,2)</f>
        <v>50876.22</v>
      </c>
      <c r="C21" s="280">
        <f>ROUND(+'Distr Def'!D24-'Distr Prov'!D24,2)</f>
        <v>0.04</v>
      </c>
      <c r="D21" s="280">
        <f>ROUND(+'Distr Def'!E24-'Distr Prov'!E24,2)</f>
        <v>0.05</v>
      </c>
      <c r="E21" s="280">
        <f>ROUND(+'Distr Def'!F24-'Distr Prov'!F24,2)</f>
        <v>0.01</v>
      </c>
      <c r="F21" s="280">
        <f>ROUND(+'Distr Def'!G24-'Distr Prov'!G24,2)</f>
        <v>38601.699999999997</v>
      </c>
      <c r="G21" s="280">
        <f>ROUND(+'Distr Def'!H24-'Distr Prov'!H24,2)</f>
        <v>0</v>
      </c>
      <c r="H21" s="280">
        <f>ROUND(+'Distr Def'!I24-'Distr Prov'!I24,2)</f>
        <v>-0.04</v>
      </c>
      <c r="I21" s="280">
        <f>ROUND(+'Distr Def'!J24-'Distr Prov'!J24,2)</f>
        <v>0.03</v>
      </c>
      <c r="J21" s="280">
        <f>ROUND(+'Distr Def'!K24-'Distr Prov'!K24,2)</f>
        <v>-0.02</v>
      </c>
      <c r="K21" s="279">
        <f t="shared" si="0"/>
        <v>89477.99</v>
      </c>
    </row>
    <row r="22" spans="1:11">
      <c r="A22" s="281" t="s">
        <v>12</v>
      </c>
      <c r="B22" s="280">
        <f>ROUND(+'Distr Def'!C25-'Distr Prov'!C25,2)</f>
        <v>-462238.84</v>
      </c>
      <c r="C22" s="280">
        <f>ROUND(+'Distr Def'!D25-'Distr Prov'!D25,2)</f>
        <v>-0.08</v>
      </c>
      <c r="D22" s="280">
        <f>ROUND(+'Distr Def'!E25-'Distr Prov'!E25,2)</f>
        <v>0</v>
      </c>
      <c r="E22" s="280">
        <f>ROUND(+'Distr Def'!F25-'Distr Prov'!F25,2)</f>
        <v>-7.0000000000000007E-2</v>
      </c>
      <c r="F22" s="280">
        <f>ROUND(+'Distr Def'!G25-'Distr Prov'!G25,2)</f>
        <v>-350717.55</v>
      </c>
      <c r="G22" s="280">
        <f>ROUND(+'Distr Def'!H25-'Distr Prov'!H25,2)</f>
        <v>-0.03</v>
      </c>
      <c r="H22" s="280">
        <f>ROUND(+'Distr Def'!I25-'Distr Prov'!I25,2)</f>
        <v>-0.02</v>
      </c>
      <c r="I22" s="280">
        <f>ROUND(+'Distr Def'!J25-'Distr Prov'!J25,2)</f>
        <v>-0.18</v>
      </c>
      <c r="J22" s="280">
        <f>ROUND(+'Distr Def'!K25-'Distr Prov'!K25,2)</f>
        <v>-0.03</v>
      </c>
      <c r="K22" s="279">
        <f t="shared" si="0"/>
        <v>-812956.80000000016</v>
      </c>
    </row>
    <row r="23" spans="1:11">
      <c r="A23" s="281" t="s">
        <v>219</v>
      </c>
      <c r="B23" s="280">
        <f>ROUND(+'Distr Def'!C26-'Distr Prov'!C26,2)</f>
        <v>190566.06</v>
      </c>
      <c r="C23" s="280">
        <f>ROUND(+'Distr Def'!D26-'Distr Prov'!D26,2)</f>
        <v>7.0000000000000007E-2</v>
      </c>
      <c r="D23" s="280">
        <f>ROUND(+'Distr Def'!E26-'Distr Prov'!E26,2)</f>
        <v>0.05</v>
      </c>
      <c r="E23" s="280">
        <f>ROUND(+'Distr Def'!F26-'Distr Prov'!F26,2)</f>
        <v>0.02</v>
      </c>
      <c r="F23" s="280">
        <f>ROUND(+'Distr Def'!G26-'Distr Prov'!G26,2)</f>
        <v>144589.41</v>
      </c>
      <c r="G23" s="280">
        <f>ROUND(+'Distr Def'!H26-'Distr Prov'!H26,2)</f>
        <v>0.05</v>
      </c>
      <c r="H23" s="280">
        <f>ROUND(+'Distr Def'!I26-'Distr Prov'!I26,2)</f>
        <v>0.02</v>
      </c>
      <c r="I23" s="280">
        <f>ROUND(+'Distr Def'!J26-'Distr Prov'!J26,2)</f>
        <v>0.09</v>
      </c>
      <c r="J23" s="280">
        <f>ROUND(+'Distr Def'!K26-'Distr Prov'!K26,2)</f>
        <v>0</v>
      </c>
      <c r="K23" s="279">
        <f t="shared" si="0"/>
        <v>335155.77</v>
      </c>
    </row>
    <row r="24" spans="1:11">
      <c r="A24" s="281" t="s">
        <v>13</v>
      </c>
      <c r="B24" s="280">
        <f>ROUND(+'Distr Def'!C27-'Distr Prov'!C27,2)</f>
        <v>18576.419999999998</v>
      </c>
      <c r="C24" s="280">
        <f>ROUND(+'Distr Def'!D27-'Distr Prov'!D27,2)</f>
        <v>0.02</v>
      </c>
      <c r="D24" s="280">
        <f>ROUND(+'Distr Def'!E27-'Distr Prov'!E27,2)</f>
        <v>0.02</v>
      </c>
      <c r="E24" s="280">
        <f>ROUND(+'Distr Def'!F27-'Distr Prov'!F27,2)</f>
        <v>0.04</v>
      </c>
      <c r="F24" s="280">
        <f>ROUND(+'Distr Def'!G27-'Distr Prov'!G27,2)</f>
        <v>14094.63</v>
      </c>
      <c r="G24" s="280">
        <f>ROUND(+'Distr Def'!H27-'Distr Prov'!H27,2)</f>
        <v>0.04</v>
      </c>
      <c r="H24" s="280">
        <f>ROUND(+'Distr Def'!I27-'Distr Prov'!I27,2)</f>
        <v>-0.02</v>
      </c>
      <c r="I24" s="280">
        <f>ROUND(+'Distr Def'!J27-'Distr Prov'!J27,2)</f>
        <v>0.05</v>
      </c>
      <c r="J24" s="280">
        <f>ROUND(+'Distr Def'!K27-'Distr Prov'!K27,2)</f>
        <v>0</v>
      </c>
      <c r="K24" s="279">
        <f t="shared" si="0"/>
        <v>32671.199999999997</v>
      </c>
    </row>
    <row r="25" spans="1:11">
      <c r="A25" s="281" t="s">
        <v>14</v>
      </c>
      <c r="B25" s="280">
        <f>ROUND(+'Distr Def'!C28-'Distr Prov'!C28,2)</f>
        <v>193734.04</v>
      </c>
      <c r="C25" s="280">
        <f>ROUND(+'Distr Def'!D28-'Distr Prov'!D28,2)</f>
        <v>7.0000000000000007E-2</v>
      </c>
      <c r="D25" s="280">
        <f>ROUND(+'Distr Def'!E28-'Distr Prov'!E28,2)</f>
        <v>0.01</v>
      </c>
      <c r="E25" s="280">
        <f>ROUND(+'Distr Def'!F28-'Distr Prov'!F28,2)</f>
        <v>0.02</v>
      </c>
      <c r="F25" s="280">
        <f>ROUND(+'Distr Def'!G28-'Distr Prov'!G28,2)</f>
        <v>146993.14000000001</v>
      </c>
      <c r="G25" s="280">
        <f>ROUND(+'Distr Def'!H28-'Distr Prov'!H28,2)</f>
        <v>0.05</v>
      </c>
      <c r="H25" s="280">
        <f>ROUND(+'Distr Def'!I28-'Distr Prov'!I28,2)</f>
        <v>0.03</v>
      </c>
      <c r="I25" s="280">
        <f>ROUND(+'Distr Def'!J28-'Distr Prov'!J28,2)</f>
        <v>0.08</v>
      </c>
      <c r="J25" s="280">
        <f>ROUND(+'Distr Def'!K28-'Distr Prov'!K28,2)</f>
        <v>0.05</v>
      </c>
      <c r="K25" s="279">
        <f t="shared" si="0"/>
        <v>340727.49000000005</v>
      </c>
    </row>
    <row r="26" spans="1:11">
      <c r="A26" s="281" t="s">
        <v>15</v>
      </c>
      <c r="B26" s="280">
        <f>ROUND(+'Distr Def'!C29-'Distr Prov'!C29,2)</f>
        <v>-308161.31</v>
      </c>
      <c r="C26" s="280">
        <f>ROUND(+'Distr Def'!D29-'Distr Prov'!D29,2)</f>
        <v>0.05</v>
      </c>
      <c r="D26" s="280">
        <f>ROUND(+'Distr Def'!E29-'Distr Prov'!E29,2)</f>
        <v>0.04</v>
      </c>
      <c r="E26" s="280">
        <f>ROUND(+'Distr Def'!F29-'Distr Prov'!F29,2)</f>
        <v>0.02</v>
      </c>
      <c r="F26" s="280">
        <f>ROUND(+'Distr Def'!G29-'Distr Prov'!G29,2)</f>
        <v>-233813.2</v>
      </c>
      <c r="G26" s="280">
        <f>ROUND(+'Distr Def'!H29-'Distr Prov'!H29,2)</f>
        <v>0.03</v>
      </c>
      <c r="H26" s="280">
        <f>ROUND(+'Distr Def'!I29-'Distr Prov'!I29,2)</f>
        <v>0.06</v>
      </c>
      <c r="I26" s="280">
        <f>ROUND(+'Distr Def'!J29-'Distr Prov'!J29,2)</f>
        <v>0.04</v>
      </c>
      <c r="J26" s="280">
        <f>ROUND(+'Distr Def'!K29-'Distr Prov'!K29,2)</f>
        <v>0.01</v>
      </c>
      <c r="K26" s="279">
        <f t="shared" si="0"/>
        <v>-541974.25999999989</v>
      </c>
    </row>
    <row r="27" spans="1:11">
      <c r="A27" s="281" t="s">
        <v>16</v>
      </c>
      <c r="B27" s="280">
        <f>ROUND(+'Distr Def'!C30-'Distr Prov'!C30,2)</f>
        <v>-869104.1</v>
      </c>
      <c r="C27" s="280">
        <f>ROUND(+'Distr Def'!D30-'Distr Prov'!D30,2)</f>
        <v>-0.17</v>
      </c>
      <c r="D27" s="280">
        <f>ROUND(+'Distr Def'!E30-'Distr Prov'!E30,2)</f>
        <v>-0.14000000000000001</v>
      </c>
      <c r="E27" s="280">
        <f>ROUND(+'Distr Def'!F30-'Distr Prov'!F30,2)</f>
        <v>-0.13</v>
      </c>
      <c r="F27" s="280">
        <f>ROUND(+'Distr Def'!G30-'Distr Prov'!G30,2)</f>
        <v>-659421.14</v>
      </c>
      <c r="G27" s="280">
        <f>ROUND(+'Distr Def'!H30-'Distr Prov'!H30,2)</f>
        <v>-0.13</v>
      </c>
      <c r="H27" s="280">
        <f>ROUND(+'Distr Def'!I30-'Distr Prov'!I30,2)</f>
        <v>-0.1</v>
      </c>
      <c r="I27" s="280">
        <f>ROUND(+'Distr Def'!J30-'Distr Prov'!J30,2)</f>
        <v>-0.3</v>
      </c>
      <c r="J27" s="280">
        <f>ROUND(+'Distr Def'!K30-'Distr Prov'!K30,2)</f>
        <v>-0.03</v>
      </c>
      <c r="K27" s="279">
        <f t="shared" si="0"/>
        <v>-1528526.2400000002</v>
      </c>
    </row>
    <row r="28" spans="1:11">
      <c r="A28" s="281" t="s">
        <v>218</v>
      </c>
      <c r="B28" s="280">
        <f>ROUND(+'Distr Def'!C31-'Distr Prov'!C31,2)</f>
        <v>84985.15</v>
      </c>
      <c r="C28" s="280">
        <f>ROUND(+'Distr Def'!D31-'Distr Prov'!D31,2)</f>
        <v>0.11</v>
      </c>
      <c r="D28" s="280">
        <f>ROUND(+'Distr Def'!E31-'Distr Prov'!E31,2)</f>
        <v>0.02</v>
      </c>
      <c r="E28" s="280">
        <f>ROUND(+'Distr Def'!F31-'Distr Prov'!F31,2)</f>
        <v>7.0000000000000007E-2</v>
      </c>
      <c r="F28" s="280">
        <f>ROUND(+'Distr Def'!G31-'Distr Prov'!G31,2)</f>
        <v>64481.33</v>
      </c>
      <c r="G28" s="280">
        <f>ROUND(+'Distr Def'!H31-'Distr Prov'!H31,2)</f>
        <v>0.03</v>
      </c>
      <c r="H28" s="280">
        <f>ROUND(+'Distr Def'!I31-'Distr Prov'!I31,2)</f>
        <v>0.06</v>
      </c>
      <c r="I28" s="280">
        <f>ROUND(+'Distr Def'!J31-'Distr Prov'!J31,2)</f>
        <v>0.05</v>
      </c>
      <c r="J28" s="280">
        <f>ROUND(+'Distr Def'!K31-'Distr Prov'!K31,2)</f>
        <v>-0.02</v>
      </c>
      <c r="K28" s="279">
        <f t="shared" si="0"/>
        <v>149466.79999999999</v>
      </c>
    </row>
    <row r="29" spans="1:11">
      <c r="A29" s="281" t="s">
        <v>17</v>
      </c>
      <c r="B29" s="280">
        <f>ROUND(+'Distr Def'!C32-'Distr Prov'!C32,2)</f>
        <v>133548.81</v>
      </c>
      <c r="C29" s="280">
        <f>ROUND(+'Distr Def'!D32-'Distr Prov'!D32,2)</f>
        <v>0.04</v>
      </c>
      <c r="D29" s="280">
        <f>ROUND(+'Distr Def'!E32-'Distr Prov'!E32,2)</f>
        <v>-0.01</v>
      </c>
      <c r="E29" s="280">
        <f>ROUND(+'Distr Def'!F32-'Distr Prov'!F32,2)</f>
        <v>0.04</v>
      </c>
      <c r="F29" s="280">
        <f>ROUND(+'Distr Def'!G32-'Distr Prov'!G32,2)</f>
        <v>101328.29</v>
      </c>
      <c r="G29" s="280">
        <f>ROUND(+'Distr Def'!H32-'Distr Prov'!H32,2)</f>
        <v>0.05</v>
      </c>
      <c r="H29" s="280">
        <f>ROUND(+'Distr Def'!I32-'Distr Prov'!I32,2)</f>
        <v>0.04</v>
      </c>
      <c r="I29" s="280">
        <f>ROUND(+'Distr Def'!J32-'Distr Prov'!J32,2)</f>
        <v>0.05</v>
      </c>
      <c r="J29" s="280">
        <f>ROUND(+'Distr Def'!K32-'Distr Prov'!K32,2)</f>
        <v>0.03</v>
      </c>
      <c r="K29" s="279">
        <f t="shared" si="0"/>
        <v>234877.33999999997</v>
      </c>
    </row>
    <row r="30" spans="1:11">
      <c r="A30" s="281" t="s">
        <v>18</v>
      </c>
      <c r="B30" s="280">
        <f>ROUND(+'Distr Def'!C33-'Distr Prov'!C33,2)</f>
        <v>56174.97</v>
      </c>
      <c r="C30" s="280">
        <f>ROUND(+'Distr Def'!D33-'Distr Prov'!D33,2)</f>
        <v>0.09</v>
      </c>
      <c r="D30" s="280">
        <f>ROUND(+'Distr Def'!E33-'Distr Prov'!E33,2)</f>
        <v>0.01</v>
      </c>
      <c r="E30" s="280">
        <f>ROUND(+'Distr Def'!F33-'Distr Prov'!F33,2)</f>
        <v>0.01</v>
      </c>
      <c r="F30" s="280">
        <f>ROUND(+'Distr Def'!G33-'Distr Prov'!G33,2)</f>
        <v>42621.99</v>
      </c>
      <c r="G30" s="280">
        <f>ROUND(+'Distr Def'!H33-'Distr Prov'!H33,2)</f>
        <v>0.03</v>
      </c>
      <c r="H30" s="280">
        <f>ROUND(+'Distr Def'!I33-'Distr Prov'!I33,2)</f>
        <v>0.05</v>
      </c>
      <c r="I30" s="280">
        <f>ROUND(+'Distr Def'!J33-'Distr Prov'!J33,2)</f>
        <v>0.05</v>
      </c>
      <c r="J30" s="280">
        <f>ROUND(+'Distr Def'!K33-'Distr Prov'!K33,2)</f>
        <v>0.03</v>
      </c>
      <c r="K30" s="279">
        <f t="shared" si="0"/>
        <v>98797.23000000001</v>
      </c>
    </row>
    <row r="31" spans="1:11">
      <c r="A31" s="281" t="s">
        <v>19</v>
      </c>
      <c r="B31" s="280">
        <f>ROUND(+'Distr Def'!C34-'Distr Prov'!C34,2)</f>
        <v>97795.95</v>
      </c>
      <c r="C31" s="280">
        <f>ROUND(+'Distr Def'!D34-'Distr Prov'!D34,2)</f>
        <v>0.05</v>
      </c>
      <c r="D31" s="280">
        <f>ROUND(+'Distr Def'!E34-'Distr Prov'!E34,2)</f>
        <v>0.03</v>
      </c>
      <c r="E31" s="280">
        <f>ROUND(+'Distr Def'!F34-'Distr Prov'!F34,2)</f>
        <v>0.02</v>
      </c>
      <c r="F31" s="280">
        <f>ROUND(+'Distr Def'!G34-'Distr Prov'!G34,2)</f>
        <v>74201.350000000006</v>
      </c>
      <c r="G31" s="280">
        <f>ROUND(+'Distr Def'!H34-'Distr Prov'!H34,2)</f>
        <v>0.02</v>
      </c>
      <c r="H31" s="280">
        <f>ROUND(+'Distr Def'!I34-'Distr Prov'!I34,2)</f>
        <v>0.05</v>
      </c>
      <c r="I31" s="280">
        <f>ROUND(+'Distr Def'!J34-'Distr Prov'!J34,2)</f>
        <v>0.06</v>
      </c>
      <c r="J31" s="280">
        <f>ROUND(+'Distr Def'!K34-'Distr Prov'!K34,2)</f>
        <v>-0.01</v>
      </c>
      <c r="K31" s="279">
        <f t="shared" si="0"/>
        <v>171997.52</v>
      </c>
    </row>
    <row r="32" spans="1:11">
      <c r="A32" s="281" t="s">
        <v>20</v>
      </c>
      <c r="B32" s="280">
        <f>ROUND(+'Distr Def'!C35-'Distr Prov'!C35,2)</f>
        <v>82134.350000000006</v>
      </c>
      <c r="C32" s="280">
        <f>ROUND(+'Distr Def'!D35-'Distr Prov'!D35,2)</f>
        <v>0.03</v>
      </c>
      <c r="D32" s="280">
        <f>ROUND(+'Distr Def'!E35-'Distr Prov'!E35,2)</f>
        <v>7.0000000000000007E-2</v>
      </c>
      <c r="E32" s="280">
        <f>ROUND(+'Distr Def'!F35-'Distr Prov'!F35,2)</f>
        <v>0.04</v>
      </c>
      <c r="F32" s="280">
        <f>ROUND(+'Distr Def'!G35-'Distr Prov'!G35,2)</f>
        <v>62318.41</v>
      </c>
      <c r="G32" s="280">
        <f>ROUND(+'Distr Def'!H35-'Distr Prov'!H35,2)</f>
        <v>0.04</v>
      </c>
      <c r="H32" s="280">
        <f>ROUND(+'Distr Def'!I35-'Distr Prov'!I35,2)</f>
        <v>-0.01</v>
      </c>
      <c r="I32" s="280">
        <f>ROUND(+'Distr Def'!J35-'Distr Prov'!J35,2)</f>
        <v>0.05</v>
      </c>
      <c r="J32" s="280">
        <f>ROUND(+'Distr Def'!K35-'Distr Prov'!K35,2)</f>
        <v>-0.02</v>
      </c>
      <c r="K32" s="279">
        <f t="shared" si="0"/>
        <v>144452.96000000002</v>
      </c>
    </row>
    <row r="33" spans="1:11">
      <c r="A33" s="281" t="s">
        <v>217</v>
      </c>
      <c r="B33" s="280">
        <f>ROUND(+'Distr Def'!C36-'Distr Prov'!C36,2)</f>
        <v>-1511836.68</v>
      </c>
      <c r="C33" s="280">
        <f>ROUND(+'Distr Def'!D36-'Distr Prov'!D36,2)</f>
        <v>-0.04</v>
      </c>
      <c r="D33" s="280">
        <f>ROUND(+'Distr Def'!E36-'Distr Prov'!E36,2)</f>
        <v>0.02</v>
      </c>
      <c r="E33" s="280">
        <f>ROUND(+'Distr Def'!F36-'Distr Prov'!F36,2)</f>
        <v>-0.03</v>
      </c>
      <c r="F33" s="280">
        <f>ROUND(+'Distr Def'!G36-'Distr Prov'!G36,2)</f>
        <v>-1147085.67</v>
      </c>
      <c r="G33" s="280">
        <f>ROUND(+'Distr Def'!H36-'Distr Prov'!H36,2)</f>
        <v>-0.04</v>
      </c>
      <c r="H33" s="280">
        <f>ROUND(+'Distr Def'!I36-'Distr Prov'!I36,2)</f>
        <v>-0.03</v>
      </c>
      <c r="I33" s="280">
        <f>ROUND(+'Distr Def'!J36-'Distr Prov'!J36,2)</f>
        <v>-0.16</v>
      </c>
      <c r="J33" s="280">
        <f>ROUND(+'Distr Def'!K36-'Distr Prov'!K36,2)</f>
        <v>0</v>
      </c>
      <c r="K33" s="279">
        <f t="shared" si="0"/>
        <v>-2658922.63</v>
      </c>
    </row>
    <row r="34" spans="1:11">
      <c r="A34" s="281" t="s">
        <v>216</v>
      </c>
      <c r="B34" s="280">
        <f>ROUND(+'Distr Def'!C37-'Distr Prov'!C37,2)</f>
        <v>62916.62</v>
      </c>
      <c r="C34" s="280">
        <f>ROUND(+'Distr Def'!D37-'Distr Prov'!D37,2)</f>
        <v>-0.02</v>
      </c>
      <c r="D34" s="280">
        <f>ROUND(+'Distr Def'!E37-'Distr Prov'!E37,2)</f>
        <v>-0.11</v>
      </c>
      <c r="E34" s="280">
        <f>ROUND(+'Distr Def'!F37-'Distr Prov'!F37,2)</f>
        <v>0.05</v>
      </c>
      <c r="F34" s="280">
        <f>ROUND(+'Distr Def'!G37-'Distr Prov'!G37,2)</f>
        <v>47737.23</v>
      </c>
      <c r="G34" s="280">
        <f>ROUND(+'Distr Def'!H37-'Distr Prov'!H37,2)</f>
        <v>0.04</v>
      </c>
      <c r="H34" s="280">
        <f>ROUND(+'Distr Def'!I37-'Distr Prov'!I37,2)</f>
        <v>0.03</v>
      </c>
      <c r="I34" s="280">
        <f>ROUND(+'Distr Def'!J37-'Distr Prov'!J37,2)</f>
        <v>0.06</v>
      </c>
      <c r="J34" s="280">
        <f>ROUND(+'Distr Def'!K37-'Distr Prov'!K37,2)</f>
        <v>0.04</v>
      </c>
      <c r="K34" s="279">
        <f t="shared" si="0"/>
        <v>110653.94</v>
      </c>
    </row>
    <row r="35" spans="1:11">
      <c r="A35" s="281" t="s">
        <v>22</v>
      </c>
      <c r="B35" s="280">
        <f>ROUND(+'Distr Def'!C38-'Distr Prov'!C38,2)</f>
        <v>551635.05000000005</v>
      </c>
      <c r="C35" s="280">
        <f>ROUND(+'Distr Def'!D38-'Distr Prov'!D38,2)</f>
        <v>0.02</v>
      </c>
      <c r="D35" s="280">
        <f>ROUND(+'Distr Def'!E38-'Distr Prov'!E38,2)</f>
        <v>0.02</v>
      </c>
      <c r="E35" s="280">
        <f>ROUND(+'Distr Def'!F38-'Distr Prov'!F38,2)</f>
        <v>0.03</v>
      </c>
      <c r="F35" s="280">
        <f>ROUND(+'Distr Def'!G38-'Distr Prov'!G38,2)</f>
        <v>418545.66</v>
      </c>
      <c r="G35" s="280">
        <f>ROUND(+'Distr Def'!H38-'Distr Prov'!H38,2)</f>
        <v>0.03</v>
      </c>
      <c r="H35" s="280">
        <f>ROUND(+'Distr Def'!I38-'Distr Prov'!I38,2)</f>
        <v>0.03</v>
      </c>
      <c r="I35" s="280">
        <f>ROUND(+'Distr Def'!J38-'Distr Prov'!J38,2)</f>
        <v>7.0000000000000007E-2</v>
      </c>
      <c r="J35" s="280">
        <f>ROUND(+'Distr Def'!K38-'Distr Prov'!K38,2)</f>
        <v>0.03</v>
      </c>
      <c r="K35" s="279">
        <f t="shared" ref="K35:K66" si="1">+B35+C35+D35+E35+F35+I35+G35+H35+J35</f>
        <v>970180.94000000006</v>
      </c>
    </row>
    <row r="36" spans="1:11">
      <c r="A36" s="281" t="s">
        <v>215</v>
      </c>
      <c r="B36" s="280">
        <f>ROUND(+'Distr Def'!C39-'Distr Prov'!C39,2)</f>
        <v>128481.31</v>
      </c>
      <c r="C36" s="280">
        <f>ROUND(+'Distr Def'!D39-'Distr Prov'!D39,2)</f>
        <v>7.0000000000000007E-2</v>
      </c>
      <c r="D36" s="280">
        <f>ROUND(+'Distr Def'!E39-'Distr Prov'!E39,2)</f>
        <v>-0.01</v>
      </c>
      <c r="E36" s="280">
        <f>ROUND(+'Distr Def'!F39-'Distr Prov'!F39,2)</f>
        <v>0.04</v>
      </c>
      <c r="F36" s="280">
        <f>ROUND(+'Distr Def'!G39-'Distr Prov'!G39,2)</f>
        <v>97483.5</v>
      </c>
      <c r="G36" s="280">
        <f>ROUND(+'Distr Def'!H39-'Distr Prov'!H39,2)</f>
        <v>0.04</v>
      </c>
      <c r="H36" s="280">
        <f>ROUND(+'Distr Def'!I39-'Distr Prov'!I39,2)</f>
        <v>-0.02</v>
      </c>
      <c r="I36" s="280">
        <f>ROUND(+'Distr Def'!J39-'Distr Prov'!J39,2)</f>
        <v>0.1</v>
      </c>
      <c r="J36" s="280">
        <f>ROUND(+'Distr Def'!K39-'Distr Prov'!K39,2)</f>
        <v>-0.01</v>
      </c>
      <c r="K36" s="279">
        <f t="shared" si="1"/>
        <v>225965.02000000002</v>
      </c>
    </row>
    <row r="37" spans="1:11">
      <c r="A37" s="281" t="s">
        <v>23</v>
      </c>
      <c r="B37" s="280">
        <f>ROUND(+'Distr Def'!C40-'Distr Prov'!C40,2)</f>
        <v>240866.43</v>
      </c>
      <c r="C37" s="280">
        <f>ROUND(+'Distr Def'!D40-'Distr Prov'!D40,2)</f>
        <v>0.03</v>
      </c>
      <c r="D37" s="280">
        <f>ROUND(+'Distr Def'!E40-'Distr Prov'!E40,2)</f>
        <v>0.03</v>
      </c>
      <c r="E37" s="280">
        <f>ROUND(+'Distr Def'!F40-'Distr Prov'!F40,2)</f>
        <v>0.04</v>
      </c>
      <c r="F37" s="280">
        <f>ROUND(+'Distr Def'!G40-'Distr Prov'!G40,2)</f>
        <v>182754.14</v>
      </c>
      <c r="G37" s="280">
        <f>ROUND(+'Distr Def'!H40-'Distr Prov'!H40,2)</f>
        <v>0.02</v>
      </c>
      <c r="H37" s="280">
        <f>ROUND(+'Distr Def'!I40-'Distr Prov'!I40,2)</f>
        <v>0.06</v>
      </c>
      <c r="I37" s="280">
        <f>ROUND(+'Distr Def'!J40-'Distr Prov'!J40,2)</f>
        <v>0.09</v>
      </c>
      <c r="J37" s="280">
        <f>ROUND(+'Distr Def'!K40-'Distr Prov'!K40,2)</f>
        <v>0.01</v>
      </c>
      <c r="K37" s="279">
        <f t="shared" si="1"/>
        <v>423620.85000000009</v>
      </c>
    </row>
    <row r="38" spans="1:11">
      <c r="A38" s="281" t="s">
        <v>24</v>
      </c>
      <c r="B38" s="280">
        <f>ROUND(+'Distr Def'!C41-'Distr Prov'!C41,2)</f>
        <v>85922.72</v>
      </c>
      <c r="C38" s="280">
        <f>ROUND(+'Distr Def'!D41-'Distr Prov'!D41,2)</f>
        <v>0.05</v>
      </c>
      <c r="D38" s="280">
        <f>ROUND(+'Distr Def'!E41-'Distr Prov'!E41,2)</f>
        <v>0.04</v>
      </c>
      <c r="E38" s="280">
        <f>ROUND(+'Distr Def'!F41-'Distr Prov'!F41,2)</f>
        <v>0.05</v>
      </c>
      <c r="F38" s="280">
        <f>ROUND(+'Distr Def'!G41-'Distr Prov'!G41,2)</f>
        <v>65192.67</v>
      </c>
      <c r="G38" s="280">
        <f>ROUND(+'Distr Def'!H41-'Distr Prov'!H41,2)</f>
        <v>0.04</v>
      </c>
      <c r="H38" s="280">
        <f>ROUND(+'Distr Def'!I41-'Distr Prov'!I41,2)</f>
        <v>0.02</v>
      </c>
      <c r="I38" s="280">
        <f>ROUND(+'Distr Def'!J41-'Distr Prov'!J41,2)</f>
        <v>0.03</v>
      </c>
      <c r="J38" s="280">
        <f>ROUND(+'Distr Def'!K41-'Distr Prov'!K41,2)</f>
        <v>-0.04</v>
      </c>
      <c r="K38" s="279">
        <f t="shared" si="1"/>
        <v>151115.57999999999</v>
      </c>
    </row>
    <row r="39" spans="1:11">
      <c r="A39" s="281" t="s">
        <v>25</v>
      </c>
      <c r="B39" s="280">
        <f>ROUND(+'Distr Def'!C42-'Distr Prov'!C42,2)</f>
        <v>133669.76000000001</v>
      </c>
      <c r="C39" s="280">
        <f>ROUND(+'Distr Def'!D42-'Distr Prov'!D42,2)</f>
        <v>0.05</v>
      </c>
      <c r="D39" s="280">
        <f>ROUND(+'Distr Def'!E42-'Distr Prov'!E42,2)</f>
        <v>0.03</v>
      </c>
      <c r="E39" s="280">
        <f>ROUND(+'Distr Def'!F42-'Distr Prov'!F42,2)</f>
        <v>0.02</v>
      </c>
      <c r="F39" s="280">
        <f>ROUND(+'Distr Def'!G42-'Distr Prov'!G42,2)</f>
        <v>101420.13</v>
      </c>
      <c r="G39" s="280">
        <f>ROUND(+'Distr Def'!H42-'Distr Prov'!H42,2)</f>
        <v>0.03</v>
      </c>
      <c r="H39" s="280">
        <f>ROUND(+'Distr Def'!I42-'Distr Prov'!I42,2)</f>
        <v>-0.01</v>
      </c>
      <c r="I39" s="280">
        <f>ROUND(+'Distr Def'!J42-'Distr Prov'!J42,2)</f>
        <v>0.02</v>
      </c>
      <c r="J39" s="280">
        <f>ROUND(+'Distr Def'!K42-'Distr Prov'!K42,2)</f>
        <v>0</v>
      </c>
      <c r="K39" s="279">
        <f t="shared" si="1"/>
        <v>235090.02999999997</v>
      </c>
    </row>
    <row r="40" spans="1:11">
      <c r="A40" s="281" t="s">
        <v>26</v>
      </c>
      <c r="B40" s="280">
        <f>ROUND(+'Distr Def'!C43-'Distr Prov'!C43,2)</f>
        <v>368578.07</v>
      </c>
      <c r="C40" s="280">
        <f>ROUND(+'Distr Def'!D43-'Distr Prov'!D43,2)</f>
        <v>0.01</v>
      </c>
      <c r="D40" s="280">
        <f>ROUND(+'Distr Def'!E43-'Distr Prov'!E43,2)</f>
        <v>0.05</v>
      </c>
      <c r="E40" s="280">
        <f>ROUND(+'Distr Def'!F43-'Distr Prov'!F43,2)</f>
        <v>0.04</v>
      </c>
      <c r="F40" s="280">
        <f>ROUND(+'Distr Def'!G43-'Distr Prov'!G43,2)</f>
        <v>279653.59999999998</v>
      </c>
      <c r="G40" s="280">
        <f>ROUND(+'Distr Def'!H43-'Distr Prov'!H43,2)</f>
        <v>0.01</v>
      </c>
      <c r="H40" s="280">
        <f>ROUND(+'Distr Def'!I43-'Distr Prov'!I43,2)</f>
        <v>-0.02</v>
      </c>
      <c r="I40" s="280">
        <f>ROUND(+'Distr Def'!J43-'Distr Prov'!J43,2)</f>
        <v>0.03</v>
      </c>
      <c r="J40" s="280">
        <f>ROUND(+'Distr Def'!K43-'Distr Prov'!K43,2)</f>
        <v>0</v>
      </c>
      <c r="K40" s="279">
        <f t="shared" si="1"/>
        <v>648231.79</v>
      </c>
    </row>
    <row r="41" spans="1:11">
      <c r="A41" s="281" t="s">
        <v>27</v>
      </c>
      <c r="B41" s="280">
        <f>ROUND(+'Distr Def'!C44-'Distr Prov'!C44,2)</f>
        <v>154750.04999999999</v>
      </c>
      <c r="C41" s="280">
        <f>ROUND(+'Distr Def'!D44-'Distr Prov'!D44,2)</f>
        <v>-0.62</v>
      </c>
      <c r="D41" s="280">
        <f>ROUND(+'Distr Def'!E44-'Distr Prov'!E44,2)</f>
        <v>0</v>
      </c>
      <c r="E41" s="280">
        <f>ROUND(+'Distr Def'!F44-'Distr Prov'!F44,2)</f>
        <v>-0.52</v>
      </c>
      <c r="F41" s="280">
        <f>ROUND(+'Distr Def'!G44-'Distr Prov'!G44,2)</f>
        <v>117414.2</v>
      </c>
      <c r="G41" s="280">
        <f>ROUND(+'Distr Def'!H44-'Distr Prov'!H44,2)</f>
        <v>-0.49</v>
      </c>
      <c r="H41" s="280">
        <f>ROUND(+'Distr Def'!I44-'Distr Prov'!I44,2)</f>
        <v>-0.28000000000000003</v>
      </c>
      <c r="I41" s="280">
        <f>ROUND(+'Distr Def'!J44-'Distr Prov'!J44,2)</f>
        <v>-0.65</v>
      </c>
      <c r="J41" s="280">
        <f>ROUND(+'Distr Def'!K44-'Distr Prov'!K44,2)</f>
        <v>-0.12</v>
      </c>
      <c r="K41" s="279">
        <f t="shared" si="1"/>
        <v>272161.56999999995</v>
      </c>
    </row>
    <row r="42" spans="1:11">
      <c r="A42" s="281" t="s">
        <v>214</v>
      </c>
      <c r="B42" s="280">
        <f>ROUND(+'Distr Def'!C45-'Distr Prov'!C45,2)</f>
        <v>-29902.91</v>
      </c>
      <c r="C42" s="280">
        <f>ROUND(+'Distr Def'!D45-'Distr Prov'!D45,2)</f>
        <v>7.0000000000000007E-2</v>
      </c>
      <c r="D42" s="280">
        <f>ROUND(+'Distr Def'!E45-'Distr Prov'!E45,2)</f>
        <v>0.04</v>
      </c>
      <c r="E42" s="280">
        <f>ROUND(+'Distr Def'!F45-'Distr Prov'!F45,2)</f>
        <v>0.02</v>
      </c>
      <c r="F42" s="280">
        <f>ROUND(+'Distr Def'!G45-'Distr Prov'!G45,2)</f>
        <v>-22688.44</v>
      </c>
      <c r="G42" s="280">
        <f>ROUND(+'Distr Def'!H45-'Distr Prov'!H45,2)</f>
        <v>-0.01</v>
      </c>
      <c r="H42" s="280">
        <f>ROUND(+'Distr Def'!I45-'Distr Prov'!I45,2)</f>
        <v>0.06</v>
      </c>
      <c r="I42" s="280">
        <f>ROUND(+'Distr Def'!J45-'Distr Prov'!J45,2)</f>
        <v>0.08</v>
      </c>
      <c r="J42" s="280">
        <f>ROUND(+'Distr Def'!K45-'Distr Prov'!K45,2)</f>
        <v>0.01</v>
      </c>
      <c r="K42" s="279">
        <f t="shared" si="1"/>
        <v>-52591.08</v>
      </c>
    </row>
    <row r="43" spans="1:11">
      <c r="A43" s="281" t="s">
        <v>139</v>
      </c>
      <c r="B43" s="280">
        <f>ROUND(+'Distr Def'!C46-'Distr Prov'!C46,2)</f>
        <v>-536437.44999999995</v>
      </c>
      <c r="C43" s="280">
        <f>ROUND(+'Distr Def'!D46-'Distr Prov'!D46,2)</f>
        <v>0.01</v>
      </c>
      <c r="D43" s="280">
        <f>ROUND(+'Distr Def'!E46-'Distr Prov'!E46,2)</f>
        <v>0</v>
      </c>
      <c r="E43" s="280">
        <f>ROUND(+'Distr Def'!F46-'Distr Prov'!F46,2)</f>
        <v>0.03</v>
      </c>
      <c r="F43" s="280">
        <f>ROUND(+'Distr Def'!G46-'Distr Prov'!G46,2)</f>
        <v>-407014.63</v>
      </c>
      <c r="G43" s="280">
        <f>ROUND(+'Distr Def'!H46-'Distr Prov'!H46,2)</f>
        <v>-0.05</v>
      </c>
      <c r="H43" s="280">
        <f>ROUND(+'Distr Def'!I46-'Distr Prov'!I46,2)</f>
        <v>0</v>
      </c>
      <c r="I43" s="280">
        <f>ROUND(+'Distr Def'!J46-'Distr Prov'!J46,2)</f>
        <v>0</v>
      </c>
      <c r="J43" s="280">
        <f>ROUND(+'Distr Def'!K46-'Distr Prov'!K46,2)</f>
        <v>0.02</v>
      </c>
      <c r="K43" s="279">
        <f t="shared" si="1"/>
        <v>-943452.07</v>
      </c>
    </row>
    <row r="44" spans="1:11">
      <c r="A44" s="281" t="s">
        <v>213</v>
      </c>
      <c r="B44" s="280">
        <f>ROUND(+'Distr Def'!C47-'Distr Prov'!C47,2)</f>
        <v>60720.26</v>
      </c>
      <c r="C44" s="280">
        <f>ROUND(+'Distr Def'!D47-'Distr Prov'!D47,2)</f>
        <v>7.0000000000000007E-2</v>
      </c>
      <c r="D44" s="280">
        <f>ROUND(+'Distr Def'!E47-'Distr Prov'!E47,2)</f>
        <v>0</v>
      </c>
      <c r="E44" s="280">
        <f>ROUND(+'Distr Def'!F47-'Distr Prov'!F47,2)</f>
        <v>0.06</v>
      </c>
      <c r="F44" s="280">
        <f>ROUND(+'Distr Def'!G47-'Distr Prov'!G47,2)</f>
        <v>46070.64</v>
      </c>
      <c r="G44" s="280">
        <f>ROUND(+'Distr Def'!H47-'Distr Prov'!H47,2)</f>
        <v>0.04</v>
      </c>
      <c r="H44" s="280">
        <f>ROUND(+'Distr Def'!I47-'Distr Prov'!I47,2)</f>
        <v>-0.01</v>
      </c>
      <c r="I44" s="280">
        <f>ROUND(+'Distr Def'!J47-'Distr Prov'!J47,2)</f>
        <v>7.0000000000000007E-2</v>
      </c>
      <c r="J44" s="280">
        <f>ROUND(+'Distr Def'!K47-'Distr Prov'!K47,2)</f>
        <v>-0.01</v>
      </c>
      <c r="K44" s="279">
        <f t="shared" si="1"/>
        <v>106791.12000000001</v>
      </c>
    </row>
    <row r="45" spans="1:11">
      <c r="A45" s="281" t="s">
        <v>28</v>
      </c>
      <c r="B45" s="280">
        <f>ROUND(+'Distr Def'!C48-'Distr Prov'!C48,2)</f>
        <v>99300.68</v>
      </c>
      <c r="C45" s="280">
        <f>ROUND(+'Distr Def'!D48-'Distr Prov'!D48,2)</f>
        <v>7.0000000000000007E-2</v>
      </c>
      <c r="D45" s="280">
        <f>ROUND(+'Distr Def'!E48-'Distr Prov'!E48,2)</f>
        <v>0.05</v>
      </c>
      <c r="E45" s="280">
        <f>ROUND(+'Distr Def'!F48-'Distr Prov'!F48,2)</f>
        <v>0.03</v>
      </c>
      <c r="F45" s="280">
        <f>ROUND(+'Distr Def'!G48-'Distr Prov'!G48,2)</f>
        <v>75343.100000000006</v>
      </c>
      <c r="G45" s="280">
        <f>ROUND(+'Distr Def'!H48-'Distr Prov'!H48,2)</f>
        <v>0.03</v>
      </c>
      <c r="H45" s="280">
        <f>ROUND(+'Distr Def'!I48-'Distr Prov'!I48,2)</f>
        <v>7.0000000000000007E-2</v>
      </c>
      <c r="I45" s="280">
        <f>ROUND(+'Distr Def'!J48-'Distr Prov'!J48,2)</f>
        <v>0.05</v>
      </c>
      <c r="J45" s="280">
        <f>ROUND(+'Distr Def'!K48-'Distr Prov'!K48,2)</f>
        <v>0.02</v>
      </c>
      <c r="K45" s="279">
        <f t="shared" si="1"/>
        <v>174644.09999999998</v>
      </c>
    </row>
    <row r="46" spans="1:11">
      <c r="A46" s="281" t="s">
        <v>29</v>
      </c>
      <c r="B46" s="280">
        <f>ROUND(+'Distr Def'!C49-'Distr Prov'!C49,2)</f>
        <v>331233.38</v>
      </c>
      <c r="C46" s="280">
        <f>ROUND(+'Distr Def'!D49-'Distr Prov'!D49,2)</f>
        <v>0.02</v>
      </c>
      <c r="D46" s="280">
        <f>ROUND(+'Distr Def'!E49-'Distr Prov'!E49,2)</f>
        <v>0</v>
      </c>
      <c r="E46" s="280">
        <f>ROUND(+'Distr Def'!F49-'Distr Prov'!F49,2)</f>
        <v>0.02</v>
      </c>
      <c r="F46" s="280">
        <f>ROUND(+'Distr Def'!G49-'Distr Prov'!G49,2)</f>
        <v>251318.92</v>
      </c>
      <c r="G46" s="280">
        <f>ROUND(+'Distr Def'!H49-'Distr Prov'!H49,2)</f>
        <v>0.03</v>
      </c>
      <c r="H46" s="280">
        <f>ROUND(+'Distr Def'!I49-'Distr Prov'!I49,2)</f>
        <v>-0.02</v>
      </c>
      <c r="I46" s="280">
        <f>ROUND(+'Distr Def'!J49-'Distr Prov'!J49,2)</f>
        <v>0.06</v>
      </c>
      <c r="J46" s="280">
        <f>ROUND(+'Distr Def'!K49-'Distr Prov'!K49,2)</f>
        <v>0.05</v>
      </c>
      <c r="K46" s="279">
        <f t="shared" si="1"/>
        <v>582552.4600000002</v>
      </c>
    </row>
    <row r="47" spans="1:11">
      <c r="A47" s="281" t="s">
        <v>30</v>
      </c>
      <c r="B47" s="280">
        <f>ROUND(+'Distr Def'!C50-'Distr Prov'!C50,2)</f>
        <v>-217433.37</v>
      </c>
      <c r="C47" s="280">
        <f>ROUND(+'Distr Def'!D50-'Distr Prov'!D50,2)</f>
        <v>0.03</v>
      </c>
      <c r="D47" s="280">
        <f>ROUND(+'Distr Def'!E50-'Distr Prov'!E50,2)</f>
        <v>-0.01</v>
      </c>
      <c r="E47" s="280">
        <f>ROUND(+'Distr Def'!F50-'Distr Prov'!F50,2)</f>
        <v>0.01</v>
      </c>
      <c r="F47" s="280">
        <f>ROUND(+'Distr Def'!G50-'Distr Prov'!G50,2)</f>
        <v>-164974.57999999999</v>
      </c>
      <c r="G47" s="280">
        <f>ROUND(+'Distr Def'!H50-'Distr Prov'!H50,2)</f>
        <v>0.02</v>
      </c>
      <c r="H47" s="280">
        <f>ROUND(+'Distr Def'!I50-'Distr Prov'!I50,2)</f>
        <v>0.06</v>
      </c>
      <c r="I47" s="280">
        <f>ROUND(+'Distr Def'!J50-'Distr Prov'!J50,2)</f>
        <v>0.04</v>
      </c>
      <c r="J47" s="280">
        <f>ROUND(+'Distr Def'!K50-'Distr Prov'!K50,2)</f>
        <v>0.01</v>
      </c>
      <c r="K47" s="279">
        <f t="shared" si="1"/>
        <v>-382407.79</v>
      </c>
    </row>
    <row r="48" spans="1:11">
      <c r="A48" s="281" t="s">
        <v>212</v>
      </c>
      <c r="B48" s="280">
        <f>ROUND(+'Distr Def'!C51-'Distr Prov'!C51,2)</f>
        <v>835493.77</v>
      </c>
      <c r="C48" s="280">
        <f>ROUND(+'Distr Def'!D51-'Distr Prov'!D51,2)</f>
        <v>-0.14000000000000001</v>
      </c>
      <c r="D48" s="280">
        <f>ROUND(+'Distr Def'!E51-'Distr Prov'!E51,2)</f>
        <v>-7.0000000000000007E-2</v>
      </c>
      <c r="E48" s="280">
        <f>ROUND(+'Distr Def'!F51-'Distr Prov'!F51,2)</f>
        <v>-0.11</v>
      </c>
      <c r="F48" s="280">
        <f>ROUND(+'Distr Def'!G51-'Distr Prov'!G51,2)</f>
        <v>633919.67000000004</v>
      </c>
      <c r="G48" s="280">
        <f>ROUND(+'Distr Def'!H51-'Distr Prov'!H51,2)</f>
        <v>-0.06</v>
      </c>
      <c r="H48" s="280">
        <f>ROUND(+'Distr Def'!I51-'Distr Prov'!I51,2)</f>
        <v>-0.08</v>
      </c>
      <c r="I48" s="280">
        <f>ROUND(+'Distr Def'!J51-'Distr Prov'!J51,2)</f>
        <v>-0.15</v>
      </c>
      <c r="J48" s="280">
        <f>ROUND(+'Distr Def'!K51-'Distr Prov'!K51,2)</f>
        <v>0.03</v>
      </c>
      <c r="K48" s="279">
        <f t="shared" si="1"/>
        <v>1469412.86</v>
      </c>
    </row>
    <row r="49" spans="1:11">
      <c r="A49" s="281" t="s">
        <v>211</v>
      </c>
      <c r="B49" s="280">
        <f>ROUND(+'Distr Def'!C52-'Distr Prov'!C52,2)</f>
        <v>615536.47</v>
      </c>
      <c r="C49" s="280">
        <f>ROUND(+'Distr Def'!D52-'Distr Prov'!D52,2)</f>
        <v>-0.3</v>
      </c>
      <c r="D49" s="280">
        <f>ROUND(+'Distr Def'!E52-'Distr Prov'!E52,2)</f>
        <v>-0.15</v>
      </c>
      <c r="E49" s="280">
        <f>ROUND(+'Distr Def'!F52-'Distr Prov'!F52,2)</f>
        <v>-0.24</v>
      </c>
      <c r="F49" s="280">
        <f>ROUND(+'Distr Def'!G52-'Distr Prov'!G52,2)</f>
        <v>467029.86</v>
      </c>
      <c r="G49" s="280">
        <f>ROUND(+'Distr Def'!H52-'Distr Prov'!H52,2)</f>
        <v>-0.23</v>
      </c>
      <c r="H49" s="280">
        <f>ROUND(+'Distr Def'!I52-'Distr Prov'!I52,2)</f>
        <v>-0.08</v>
      </c>
      <c r="I49" s="280">
        <f>ROUND(+'Distr Def'!J52-'Distr Prov'!J52,2)</f>
        <v>-0.1</v>
      </c>
      <c r="J49" s="280">
        <f>ROUND(+'Distr Def'!K52-'Distr Prov'!K52,2)</f>
        <v>-0.11</v>
      </c>
      <c r="K49" s="279">
        <f t="shared" si="1"/>
        <v>1082565.1199999996</v>
      </c>
    </row>
    <row r="50" spans="1:11">
      <c r="A50" s="281" t="s">
        <v>31</v>
      </c>
      <c r="B50" s="280">
        <f>ROUND(+'Distr Def'!C53-'Distr Prov'!C53,2)</f>
        <v>-696980.99</v>
      </c>
      <c r="C50" s="280">
        <f>ROUND(+'Distr Def'!D53-'Distr Prov'!D53,2)</f>
        <v>-0.09</v>
      </c>
      <c r="D50" s="280">
        <f>ROUND(+'Distr Def'!E53-'Distr Prov'!E53,2)</f>
        <v>-0.06</v>
      </c>
      <c r="E50" s="280">
        <f>ROUND(+'Distr Def'!F53-'Distr Prov'!F53,2)</f>
        <v>-0.04</v>
      </c>
      <c r="F50" s="280">
        <f>ROUND(+'Distr Def'!G53-'Distr Prov'!G53,2)</f>
        <v>-528824.93000000005</v>
      </c>
      <c r="G50" s="280">
        <f>ROUND(+'Distr Def'!H53-'Distr Prov'!H53,2)</f>
        <v>-0.05</v>
      </c>
      <c r="H50" s="280">
        <f>ROUND(+'Distr Def'!I53-'Distr Prov'!I53,2)</f>
        <v>-0.05</v>
      </c>
      <c r="I50" s="280">
        <f>ROUND(+'Distr Def'!J53-'Distr Prov'!J53,2)</f>
        <v>-0.1</v>
      </c>
      <c r="J50" s="280">
        <f>ROUND(+'Distr Def'!K53-'Distr Prov'!K53,2)</f>
        <v>-0.05</v>
      </c>
      <c r="K50" s="279">
        <f t="shared" si="1"/>
        <v>-1225806.3600000003</v>
      </c>
    </row>
    <row r="51" spans="1:11">
      <c r="A51" s="281" t="s">
        <v>32</v>
      </c>
      <c r="B51" s="280">
        <f>ROUND(+'Distr Def'!C54-'Distr Prov'!C54,2)</f>
        <v>-222022.64</v>
      </c>
      <c r="C51" s="280">
        <f>ROUND(+'Distr Def'!D54-'Distr Prov'!D54,2)</f>
        <v>-0.01</v>
      </c>
      <c r="D51" s="280">
        <f>ROUND(+'Distr Def'!E54-'Distr Prov'!E54,2)</f>
        <v>-0.05</v>
      </c>
      <c r="E51" s="280">
        <f>ROUND(+'Distr Def'!F54-'Distr Prov'!F54,2)</f>
        <v>-0.01</v>
      </c>
      <c r="F51" s="280">
        <f>ROUND(+'Distr Def'!G54-'Distr Prov'!G54,2)</f>
        <v>-168456.62</v>
      </c>
      <c r="G51" s="280">
        <f>ROUND(+'Distr Def'!H54-'Distr Prov'!H54,2)</f>
        <v>-0.01</v>
      </c>
      <c r="H51" s="280">
        <f>ROUND(+'Distr Def'!I54-'Distr Prov'!I54,2)</f>
        <v>-0.03</v>
      </c>
      <c r="I51" s="280">
        <f>ROUND(+'Distr Def'!J54-'Distr Prov'!J54,2)</f>
        <v>0.04</v>
      </c>
      <c r="J51" s="280">
        <f>ROUND(+'Distr Def'!K54-'Distr Prov'!K54,2)</f>
        <v>-0.03</v>
      </c>
      <c r="K51" s="279">
        <f t="shared" si="1"/>
        <v>-390479.3600000001</v>
      </c>
    </row>
    <row r="52" spans="1:11">
      <c r="A52" s="281" t="s">
        <v>33</v>
      </c>
      <c r="B52" s="280">
        <f>ROUND(+'Distr Def'!C55-'Distr Prov'!C55,2)</f>
        <v>-26138.240000000002</v>
      </c>
      <c r="C52" s="280">
        <f>ROUND(+'Distr Def'!D55-'Distr Prov'!D55,2)</f>
        <v>0.01</v>
      </c>
      <c r="D52" s="280">
        <f>ROUND(+'Distr Def'!E55-'Distr Prov'!E55,2)</f>
        <v>0.01</v>
      </c>
      <c r="E52" s="280">
        <f>ROUND(+'Distr Def'!F55-'Distr Prov'!F55,2)</f>
        <v>7.0000000000000007E-2</v>
      </c>
      <c r="F52" s="280">
        <f>ROUND(+'Distr Def'!G55-'Distr Prov'!G55,2)</f>
        <v>-19831.97</v>
      </c>
      <c r="G52" s="280">
        <f>ROUND(+'Distr Def'!H55-'Distr Prov'!H55,2)</f>
        <v>0.04</v>
      </c>
      <c r="H52" s="280">
        <f>ROUND(+'Distr Def'!I55-'Distr Prov'!I55,2)</f>
        <v>0</v>
      </c>
      <c r="I52" s="280">
        <f>ROUND(+'Distr Def'!J55-'Distr Prov'!J55,2)</f>
        <v>7.0000000000000007E-2</v>
      </c>
      <c r="J52" s="280">
        <f>ROUND(+'Distr Def'!K55-'Distr Prov'!K55,2)</f>
        <v>0.02</v>
      </c>
      <c r="K52" s="279">
        <f t="shared" si="1"/>
        <v>-45969.990000000013</v>
      </c>
    </row>
    <row r="53" spans="1:11" ht="15.75" thickBot="1">
      <c r="A53" s="278" t="s">
        <v>34</v>
      </c>
      <c r="B53" s="277">
        <f>ROUND(+'Distr Def'!C56-'Distr Prov'!C56,2)</f>
        <v>66021.17</v>
      </c>
      <c r="C53" s="277">
        <f>ROUND(+'Distr Def'!D56-'Distr Prov'!D56,2)</f>
        <v>0.02</v>
      </c>
      <c r="D53" s="277">
        <f>ROUND(+'Distr Def'!E56-'Distr Prov'!E56,2)</f>
        <v>-0.05</v>
      </c>
      <c r="E53" s="277">
        <f>ROUND(+'Distr Def'!F56-'Distr Prov'!F56,2)</f>
        <v>0.04</v>
      </c>
      <c r="F53" s="277">
        <f>ROUND(+'Distr Def'!G56-'Distr Prov'!G56,2)</f>
        <v>50092.63</v>
      </c>
      <c r="G53" s="277">
        <f>ROUND(+'Distr Def'!H56-'Distr Prov'!H56,2)</f>
        <v>0.05</v>
      </c>
      <c r="H53" s="277">
        <f>ROUND(+'Distr Def'!I56-'Distr Prov'!I56,2)</f>
        <v>0.04</v>
      </c>
      <c r="I53" s="277">
        <f>ROUND(+'Distr Def'!J56-'Distr Prov'!J56,2)</f>
        <v>0.05</v>
      </c>
      <c r="J53" s="277">
        <f>ROUND(+'Distr Def'!K56-'Distr Prov'!K56,2)</f>
        <v>0.02</v>
      </c>
      <c r="K53" s="276">
        <f t="shared" si="1"/>
        <v>116113.97</v>
      </c>
    </row>
    <row r="54" spans="1:11" ht="15.75" thickBot="1">
      <c r="A54" s="263" t="s">
        <v>36</v>
      </c>
      <c r="B54" s="274">
        <f t="shared" ref="B54:K54" si="2">SUM(B3:B53)</f>
        <v>-0.28999999962979928</v>
      </c>
      <c r="C54" s="275">
        <f t="shared" si="2"/>
        <v>1.214306433183765E-16</v>
      </c>
      <c r="D54" s="274">
        <f t="shared" si="2"/>
        <v>9.9999999999998909E-3</v>
      </c>
      <c r="E54" s="274">
        <f t="shared" si="2"/>
        <v>-0.1100000000000001</v>
      </c>
      <c r="F54" s="274">
        <f t="shared" si="2"/>
        <v>9.9999999729334377E-3</v>
      </c>
      <c r="G54" s="274">
        <f t="shared" si="2"/>
        <v>-0.12000000000000006</v>
      </c>
      <c r="H54" s="274">
        <f t="shared" si="2"/>
        <v>0.14000000000000007</v>
      </c>
      <c r="I54" s="274">
        <f t="shared" si="2"/>
        <v>9.9999999999999978E-2</v>
      </c>
      <c r="J54" s="274">
        <f t="shared" si="2"/>
        <v>-4.0000000000000022E-2</v>
      </c>
      <c r="K54" s="274">
        <f t="shared" si="2"/>
        <v>-0.29999999911524355</v>
      </c>
    </row>
    <row r="56" spans="1:11">
      <c r="A56" s="273" t="s">
        <v>231</v>
      </c>
    </row>
    <row r="57" spans="1:11">
      <c r="A57" s="273" t="s">
        <v>230</v>
      </c>
    </row>
  </sheetData>
  <mergeCells count="1">
    <mergeCell ref="A1:K1"/>
  </mergeCells>
  <printOptions horizontalCentered="1"/>
  <pageMargins left="0.78740157480314965" right="0.23622047244094491" top="0.35433070866141736" bottom="0.11811023622047245" header="0.15748031496062992" footer="0.15748031496062992"/>
  <pageSetup scale="67" orientation="landscape" r:id="rId1"/>
  <headerFooter>
    <oddHeader>&amp;LANEXO IV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062B-490A-4C5C-8F71-E5CA51AC0A4C}">
  <dimension ref="A1:L61"/>
  <sheetViews>
    <sheetView showGridLines="0" workbookViewId="0">
      <selection activeCell="B4" sqref="B4:L4"/>
    </sheetView>
  </sheetViews>
  <sheetFormatPr baseColWidth="10" defaultColWidth="11.42578125" defaultRowHeight="12.75"/>
  <cols>
    <col min="1" max="1" width="3" style="98" bestFit="1" customWidth="1"/>
    <col min="2" max="2" width="41.28515625" style="98" customWidth="1"/>
    <col min="3" max="3" width="14.42578125" style="174" customWidth="1"/>
    <col min="4" max="4" width="14.42578125" style="176" customWidth="1"/>
    <col min="5" max="5" width="13.5703125" style="176" customWidth="1"/>
    <col min="6" max="6" width="13.5703125" style="155" customWidth="1"/>
    <col min="7" max="11" width="13.28515625" style="155" customWidth="1"/>
    <col min="12" max="12" width="16.5703125" style="155" customWidth="1"/>
    <col min="13" max="13" width="12.5703125" style="98" bestFit="1" customWidth="1"/>
    <col min="14" max="16384" width="11.42578125" style="98"/>
  </cols>
  <sheetData>
    <row r="1" spans="1:12">
      <c r="B1" s="292" t="s">
        <v>88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 customHeight="1">
      <c r="B2" s="292" t="s">
        <v>191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2.75" customHeight="1">
      <c r="B3" s="292" t="s">
        <v>236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3.5" thickBo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ht="47.25" customHeight="1">
      <c r="B5" s="221" t="s">
        <v>152</v>
      </c>
      <c r="C5" s="215" t="s">
        <v>153</v>
      </c>
      <c r="D5" s="216" t="s">
        <v>154</v>
      </c>
      <c r="E5" s="216" t="s">
        <v>155</v>
      </c>
      <c r="F5" s="216" t="s">
        <v>156</v>
      </c>
      <c r="G5" s="216" t="s">
        <v>157</v>
      </c>
      <c r="H5" s="216" t="s">
        <v>158</v>
      </c>
      <c r="I5" s="216" t="s">
        <v>159</v>
      </c>
      <c r="J5" s="216" t="s">
        <v>192</v>
      </c>
      <c r="K5" s="216" t="s">
        <v>195</v>
      </c>
      <c r="L5" s="220" t="s">
        <v>150</v>
      </c>
    </row>
    <row r="6" spans="1:12">
      <c r="A6" s="248">
        <v>15</v>
      </c>
      <c r="B6" s="217" t="s">
        <v>1</v>
      </c>
      <c r="C6" s="169">
        <f>ROUND(+IF('PART 2023'!$G$4&lt;1,'PISO 2021'!$J6*'PART 2023'!$E$4,'PISO 2021'!C6+Copete!C6),2)</f>
        <v>10103435.76</v>
      </c>
      <c r="D6" s="169">
        <f>ROUND(+IF('PART 2023'!$G$5&lt;1,'PISO 2021'!$J6*'PART 2023'!$E$5,'PISO 2021'!D6+Copete!D6),2)</f>
        <v>1478904.87</v>
      </c>
      <c r="E6" s="178">
        <f>ROUND(+'PART 2023'!E$11*'Art.14 Frac.III'!R5,2)</f>
        <v>4607513.76</v>
      </c>
      <c r="F6" s="169">
        <f>ROUND(+IF('PART 2023'!$G$6&lt;1,'PISO 2021'!$J6*'PART 2023'!$E$6,'PISO 2021'!E6+Copete!E6),2)</f>
        <v>322221.87</v>
      </c>
      <c r="G6" s="169">
        <f>ROUND(+IF('PART 2023'!$G$7&lt;1,'PISO 2021'!$J6*'PART 2023'!$E$7,'PISO 2021'!F6+Copete!F6),2)</f>
        <v>557652.22</v>
      </c>
      <c r="H6" s="169">
        <f>ROUND(+IF('PART 2023'!$G$8&lt;1,'PISO 2021'!$J6*'PART 2023'!$E$8,'PISO 2021'!G6+Copete!G6),2)</f>
        <v>380425.28</v>
      </c>
      <c r="I6" s="169">
        <f>ROUND(+IF('PART 2023'!$G$9&lt;1,'PISO 2021'!$J6*'PART 2023'!$E$9,'PISO 2021'!H6+Copete!H6),2)</f>
        <v>54444.2</v>
      </c>
      <c r="J6" s="169">
        <f>+ROUND('COEF Art 14 F II'!M7,2)</f>
        <v>141286.20000000001</v>
      </c>
      <c r="K6" s="169">
        <f>+'ISR BI'!E4</f>
        <v>25507.87</v>
      </c>
      <c r="L6" s="218">
        <f>SUM(C6:K6)</f>
        <v>17671392.029999997</v>
      </c>
    </row>
    <row r="7" spans="1:12">
      <c r="A7" s="248">
        <v>11</v>
      </c>
      <c r="B7" s="217" t="s">
        <v>2</v>
      </c>
      <c r="C7" s="169">
        <f>ROUND(+IF('PART 2023'!$G$4&lt;1,'PISO 2021'!$J7*'PART 2023'!$E$4,'PISO 2021'!C7+Copete!C7),2)</f>
        <v>19159273.359999999</v>
      </c>
      <c r="D7" s="169">
        <f>ROUND(+IF('PART 2023'!$G$5&lt;1,'PISO 2021'!$J7*'PART 2023'!$E$5,'PISO 2021'!D7+Copete!D7),2)</f>
        <v>2790405.9</v>
      </c>
      <c r="E7" s="178">
        <f>ROUND(+'PART 2023'!E$11*'Art.14 Frac.III'!R6,2)</f>
        <v>3948028.02</v>
      </c>
      <c r="F7" s="169">
        <f>ROUND(+IF('PART 2023'!$G$6&lt;1,'PISO 2021'!$J7*'PART 2023'!$E$6,'PISO 2021'!E7+Copete!E7),2)</f>
        <v>613453.53</v>
      </c>
      <c r="G7" s="169">
        <f>ROUND(+IF('PART 2023'!$G$7&lt;1,'PISO 2021'!$J7*'PART 2023'!$E$7,'PISO 2021'!F7+Copete!F7),2)</f>
        <v>1059509.32</v>
      </c>
      <c r="H7" s="169">
        <f>ROUND(+IF('PART 2023'!$G$8&lt;1,'PISO 2021'!$J7*'PART 2023'!$E$8,'PISO 2021'!G7+Copete!G7),2)</f>
        <v>707333.84</v>
      </c>
      <c r="I7" s="169">
        <f>ROUND(+IF('PART 2023'!$G$9&lt;1,'PISO 2021'!$J7*'PART 2023'!$E$9,'PISO 2021'!H7+Copete!H7),2)</f>
        <v>104071.48</v>
      </c>
      <c r="J7" s="169">
        <f>+ROUND('COEF Art 14 F II'!M8,2)</f>
        <v>182161.55</v>
      </c>
      <c r="K7" s="169">
        <f>+'ISR BI'!E5</f>
        <v>52289.31</v>
      </c>
      <c r="L7" s="218">
        <f t="shared" ref="L7:L57" si="0">SUM(C7:K7)</f>
        <v>28616526.309999999</v>
      </c>
    </row>
    <row r="8" spans="1:12">
      <c r="A8" s="248">
        <v>12</v>
      </c>
      <c r="B8" s="217" t="s">
        <v>143</v>
      </c>
      <c r="C8" s="169">
        <f>ROUND(+IF('PART 2023'!$G$4&lt;1,'PISO 2021'!$J8*'PART 2023'!$E$4,'PISO 2021'!C8+Copete!C8),2)</f>
        <v>20772475.219999999</v>
      </c>
      <c r="D8" s="169">
        <f>ROUND(+IF('PART 2023'!$G$5&lt;1,'PISO 2021'!$J8*'PART 2023'!$E$5,'PISO 2021'!D8+Copete!D8),2)</f>
        <v>3059446.91</v>
      </c>
      <c r="E8" s="178">
        <f>ROUND(+'PART 2023'!E$11*'Art.14 Frac.III'!R7,2)</f>
        <v>3147105.76</v>
      </c>
      <c r="F8" s="169">
        <f>ROUND(+IF('PART 2023'!$G$6&lt;1,'PISO 2021'!$J8*'PART 2023'!$E$6,'PISO 2021'!E8+Copete!E8),2)</f>
        <v>659238.28</v>
      </c>
      <c r="G8" s="169">
        <f>ROUND(+IF('PART 2023'!$G$7&lt;1,'PISO 2021'!$J8*'PART 2023'!$E$7,'PISO 2021'!F8+Copete!F8),2)</f>
        <v>1143806.45</v>
      </c>
      <c r="H8" s="169">
        <f>ROUND(+IF('PART 2023'!$G$8&lt;1,'PISO 2021'!$J8*'PART 2023'!$E$8,'PISO 2021'!G8+Copete!G8),2)</f>
        <v>801008.49</v>
      </c>
      <c r="I8" s="169">
        <f>ROUND(+IF('PART 2023'!$G$9&lt;1,'PISO 2021'!$J8*'PART 2023'!$E$9,'PISO 2021'!H8+Copete!H8),2)</f>
        <v>110826.05</v>
      </c>
      <c r="J8" s="169">
        <f>+ROUND('COEF Art 14 F II'!M9,2)</f>
        <v>163008.29</v>
      </c>
      <c r="K8" s="169">
        <f>+'ISR BI'!E6</f>
        <v>0</v>
      </c>
      <c r="L8" s="218">
        <f t="shared" si="0"/>
        <v>29856915.449999999</v>
      </c>
    </row>
    <row r="9" spans="1:12">
      <c r="A9" s="248">
        <v>13</v>
      </c>
      <c r="B9" s="217" t="s">
        <v>3</v>
      </c>
      <c r="C9" s="169">
        <f>ROUND(+IF('PART 2023'!$G$4&lt;1,'PISO 2021'!$J9*'PART 2023'!$E$4,'PISO 2021'!C9+Copete!C9),2)</f>
        <v>59446275.619999997</v>
      </c>
      <c r="D9" s="169">
        <f>ROUND(+IF('PART 2023'!$G$5&lt;1,'PISO 2021'!$J9*'PART 2023'!$E$5,'PISO 2021'!D9+Copete!D9),2)</f>
        <v>8861372.5399999991</v>
      </c>
      <c r="E9" s="178">
        <f>ROUND(+'PART 2023'!E$11*'Art.14 Frac.III'!R8,2)</f>
        <v>6423661.2199999997</v>
      </c>
      <c r="F9" s="169">
        <f>ROUND(+IF('PART 2023'!$G$6&lt;1,'PISO 2021'!$J9*'PART 2023'!$E$6,'PISO 2021'!E9+Copete!E9),2)</f>
        <v>1868366.69</v>
      </c>
      <c r="G9" s="169">
        <f>ROUND(+IF('PART 2023'!$G$7&lt;1,'PISO 2021'!$J9*'PART 2023'!$E$7,'PISO 2021'!F9+Copete!F9),2)</f>
        <v>3258060.59</v>
      </c>
      <c r="H9" s="169">
        <f>ROUND(+IF('PART 2023'!$G$8&lt;1,'PISO 2021'!$J9*'PART 2023'!$E$8,'PISO 2021'!G9+Copete!G9),2)</f>
        <v>2398301.27</v>
      </c>
      <c r="I9" s="169">
        <f>ROUND(+IF('PART 2023'!$G$9&lt;1,'PISO 2021'!$J9*'PART 2023'!$E$9,'PISO 2021'!H9+Copete!H9),2)</f>
        <v>310921.2</v>
      </c>
      <c r="J9" s="169">
        <f>+ROUND('COEF Art 14 F II'!M10,2)</f>
        <v>1514537.8</v>
      </c>
      <c r="K9" s="169">
        <f>+'ISR BI'!E7</f>
        <v>3006868.15</v>
      </c>
      <c r="L9" s="218">
        <f t="shared" si="0"/>
        <v>87088365.079999998</v>
      </c>
    </row>
    <row r="10" spans="1:12">
      <c r="A10" s="248">
        <v>14</v>
      </c>
      <c r="B10" s="217" t="s">
        <v>144</v>
      </c>
      <c r="C10" s="169">
        <f>ROUND(+IF('PART 2023'!$G$4&lt;1,'PISO 2021'!$J10*'PART 2023'!$E$4,'PISO 2021'!C10+Copete!C10),2)</f>
        <v>71028827.629999995</v>
      </c>
      <c r="D10" s="169">
        <f>ROUND(+IF('PART 2023'!$G$5&lt;1,'PISO 2021'!$J10*'PART 2023'!$E$5,'PISO 2021'!D10+Copete!D10),2)</f>
        <v>10416474.539999999</v>
      </c>
      <c r="E10" s="178">
        <f>ROUND(+'PART 2023'!E$11*'Art.14 Frac.III'!R9,2)</f>
        <v>8168680.6299999999</v>
      </c>
      <c r="F10" s="169">
        <f>ROUND(+IF('PART 2023'!$G$6&lt;1,'PISO 2021'!$J10*'PART 2023'!$E$6,'PISO 2021'!E10+Copete!E10),2)</f>
        <v>2261911.88</v>
      </c>
      <c r="G10" s="169">
        <f>ROUND(+IF('PART 2023'!$G$7&lt;1,'PISO 2021'!$J10*'PART 2023'!$E$7,'PISO 2021'!F10+Copete!F10),2)</f>
        <v>3917573.09</v>
      </c>
      <c r="H10" s="169">
        <f>ROUND(+IF('PART 2023'!$G$8&lt;1,'PISO 2021'!$J10*'PART 2023'!$E$8,'PISO 2021'!G10+Copete!G10),2)</f>
        <v>2693996.64</v>
      </c>
      <c r="I10" s="169">
        <f>ROUND(+IF('PART 2023'!$G$9&lt;1,'PISO 2021'!$J10*'PART 2023'!$E$9,'PISO 2021'!H10+Copete!H10),2)</f>
        <v>381601.33</v>
      </c>
      <c r="J10" s="169">
        <f>+ROUND('COEF Art 14 F II'!M11,2)</f>
        <v>956224.68</v>
      </c>
      <c r="K10" s="169">
        <f>+'ISR BI'!E8</f>
        <v>169045.31</v>
      </c>
      <c r="L10" s="218">
        <f t="shared" si="0"/>
        <v>99994335.729999989</v>
      </c>
    </row>
    <row r="11" spans="1:12">
      <c r="A11" s="248">
        <v>17</v>
      </c>
      <c r="B11" s="217" t="s">
        <v>4</v>
      </c>
      <c r="C11" s="169">
        <f>ROUND(+IF('PART 2023'!$G$4&lt;1,'PISO 2021'!$J11*'PART 2023'!$E$4,'PISO 2021'!C11+Copete!C11),2)</f>
        <v>591047728.07000005</v>
      </c>
      <c r="D11" s="169">
        <f>ROUND(+IF('PART 2023'!$G$5&lt;1,'PISO 2021'!$J11*'PART 2023'!$E$5,'PISO 2021'!D11+Copete!D11),2)</f>
        <v>91852687.989999995</v>
      </c>
      <c r="E11" s="178">
        <f>ROUND(+'PART 2023'!E$11*'Art.14 Frac.III'!R10,2)</f>
        <v>18663109.120000001</v>
      </c>
      <c r="F11" s="169">
        <f>ROUND(+IF('PART 2023'!$G$6&lt;1,'PISO 2021'!$J11*'PART 2023'!$E$6,'PISO 2021'!E11+Copete!E11),2)</f>
        <v>17931207.609999999</v>
      </c>
      <c r="G11" s="169">
        <f>ROUND(+IF('PART 2023'!$G$7&lt;1,'PISO 2021'!$J11*'PART 2023'!$E$7,'PISO 2021'!F11+Copete!F11),2)</f>
        <v>31853276.260000002</v>
      </c>
      <c r="H11" s="169">
        <f>ROUND(+IF('PART 2023'!$G$8&lt;1,'PISO 2021'!$J11*'PART 2023'!$E$8,'PISO 2021'!G11+Copete!G11),2)</f>
        <v>27596267.34</v>
      </c>
      <c r="I11" s="169">
        <f>ROUND(+IF('PART 2023'!$G$9&lt;1,'PISO 2021'!$J11*'PART 2023'!$E$9,'PISO 2021'!H11+Copete!H11),2)</f>
        <v>2870560.85</v>
      </c>
      <c r="J11" s="169">
        <f>+ROUND('COEF Art 14 F II'!M12,2)</f>
        <v>26054936.82</v>
      </c>
      <c r="K11" s="169">
        <f>+'ISR BI'!E9</f>
        <v>43911313.759999998</v>
      </c>
      <c r="L11" s="218">
        <f t="shared" si="0"/>
        <v>851781087.82000017</v>
      </c>
    </row>
    <row r="12" spans="1:12">
      <c r="A12" s="248">
        <v>16</v>
      </c>
      <c r="B12" s="217" t="s">
        <v>5</v>
      </c>
      <c r="C12" s="169">
        <f>ROUND(+IF('PART 2023'!$G$4&lt;1,'PISO 2021'!$J12*'PART 2023'!$E$4,'PISO 2021'!C12+Copete!C12),2)</f>
        <v>78278397.540000007</v>
      </c>
      <c r="D12" s="169">
        <f>ROUND(+IF('PART 2023'!$G$5&lt;1,'PISO 2021'!$J12*'PART 2023'!$E$5,'PISO 2021'!D12+Copete!D12),2)</f>
        <v>11339348.449999999</v>
      </c>
      <c r="E12" s="178">
        <f>ROUND(+'PART 2023'!E$11*'Art.14 Frac.III'!R11,2)</f>
        <v>5763579.54</v>
      </c>
      <c r="F12" s="169">
        <f>ROUND(+IF('PART 2023'!$G$6&lt;1,'PISO 2021'!$J12*'PART 2023'!$E$6,'PISO 2021'!E12+Copete!E12),2)</f>
        <v>2516920.87</v>
      </c>
      <c r="G12" s="169">
        <f>ROUND(+IF('PART 2023'!$G$7&lt;1,'PISO 2021'!$J12*'PART 2023'!$E$7,'PISO 2021'!F12+Copete!F12),2)</f>
        <v>4337638.7300000004</v>
      </c>
      <c r="H12" s="169">
        <f>ROUND(+IF('PART 2023'!$G$8&lt;1,'PISO 2021'!$J12*'PART 2023'!$E$8,'PISO 2021'!G12+Copete!G12),2)</f>
        <v>2828561.96</v>
      </c>
      <c r="I12" s="169">
        <f>ROUND(+IF('PART 2023'!$G$9&lt;1,'PISO 2021'!$J12*'PART 2023'!$E$9,'PISO 2021'!H12+Copete!H12),2)</f>
        <v>428813.5</v>
      </c>
      <c r="J12" s="169">
        <f>+ROUND('COEF Art 14 F II'!M13,2)</f>
        <v>844492.03</v>
      </c>
      <c r="K12" s="169">
        <f>+'ISR BI'!E10</f>
        <v>6237.35</v>
      </c>
      <c r="L12" s="218">
        <f t="shared" si="0"/>
        <v>106343989.97000001</v>
      </c>
    </row>
    <row r="13" spans="1:12">
      <c r="A13" s="248">
        <v>18</v>
      </c>
      <c r="B13" s="217" t="s">
        <v>6</v>
      </c>
      <c r="C13" s="169">
        <f>ROUND(+IF('PART 2023'!$G$4&lt;1,'PISO 2021'!$J13*'PART 2023'!$E$4,'PISO 2021'!C13+Copete!C13),2)</f>
        <v>14635278.449999999</v>
      </c>
      <c r="D13" s="169">
        <f>ROUND(+IF('PART 2023'!$G$5&lt;1,'PISO 2021'!$J13*'PART 2023'!$E$5,'PISO 2021'!D13+Copete!D13),2)</f>
        <v>2233572.9900000002</v>
      </c>
      <c r="E13" s="178">
        <f>ROUND(+'PART 2023'!E$11*'Art.14 Frac.III'!R12,2)</f>
        <v>30290659.41</v>
      </c>
      <c r="F13" s="169">
        <f>ROUND(+IF('PART 2023'!$G$6&lt;1,'PISO 2021'!$J13*'PART 2023'!$E$6,'PISO 2021'!E13+Copete!E13),2)</f>
        <v>451035.57</v>
      </c>
      <c r="G13" s="169">
        <f>ROUND(+IF('PART 2023'!$G$7&lt;1,'PISO 2021'!$J13*'PART 2023'!$E$7,'PISO 2021'!F13+Copete!F13),2)</f>
        <v>794624.18</v>
      </c>
      <c r="H13" s="169">
        <f>ROUND(+IF('PART 2023'!$G$8&lt;1,'PISO 2021'!$J13*'PART 2023'!$E$8,'PISO 2021'!G13+Copete!G13),2)</f>
        <v>642449.43000000005</v>
      </c>
      <c r="I13" s="169">
        <f>ROUND(+IF('PART 2023'!$G$9&lt;1,'PISO 2021'!$J13*'PART 2023'!$E$9,'PISO 2021'!H13+Copete!H13),2)</f>
        <v>73485.75</v>
      </c>
      <c r="J13" s="169">
        <f>+ROUND('COEF Art 14 F II'!M14,2)</f>
        <v>247413.79</v>
      </c>
      <c r="K13" s="169">
        <f>+'ISR BI'!E11</f>
        <v>95242.23</v>
      </c>
      <c r="L13" s="218">
        <f t="shared" si="0"/>
        <v>49463761.79999999</v>
      </c>
    </row>
    <row r="14" spans="1:12">
      <c r="A14" s="248">
        <v>19</v>
      </c>
      <c r="B14" s="217" t="s">
        <v>128</v>
      </c>
      <c r="C14" s="169">
        <f>ROUND(+IF('PART 2023'!$G$4&lt;1,'PISO 2021'!$J14*'PART 2023'!$E$4,'PISO 2021'!C14+Copete!C14),2)</f>
        <v>135609820.30000001</v>
      </c>
      <c r="D14" s="169">
        <f>ROUND(+IF('PART 2023'!$G$5&lt;1,'PISO 2021'!$J14*'PART 2023'!$E$5,'PISO 2021'!D14+Copete!D14),2)</f>
        <v>20260906.920000002</v>
      </c>
      <c r="E14" s="178">
        <f>ROUND(+'PART 2023'!E$11*'Art.14 Frac.III'!R13,2)</f>
        <v>4738162.96</v>
      </c>
      <c r="F14" s="169">
        <f>ROUND(+IF('PART 2023'!$G$6&lt;1,'PISO 2021'!$J14*'PART 2023'!$E$6,'PISO 2021'!E14+Copete!E14),2)</f>
        <v>4254196.92</v>
      </c>
      <c r="G14" s="169">
        <f>ROUND(+IF('PART 2023'!$G$7&lt;1,'PISO 2021'!$J14*'PART 2023'!$E$7,'PISO 2021'!F14+Copete!F14),2)</f>
        <v>7425683.2599999998</v>
      </c>
      <c r="H14" s="169">
        <f>ROUND(+IF('PART 2023'!$G$8&lt;1,'PISO 2021'!$J14*'PART 2023'!$E$8,'PISO 2021'!G14+Copete!G14),2)</f>
        <v>5517279.6500000004</v>
      </c>
      <c r="I14" s="169">
        <f>ROUND(+IF('PART 2023'!$G$9&lt;1,'PISO 2021'!$J14*'PART 2023'!$E$9,'PISO 2021'!H14+Copete!H14),2)</f>
        <v>706557.08</v>
      </c>
      <c r="J14" s="169">
        <f>+ROUND('COEF Art 14 F II'!M15,2)</f>
        <v>4379974.4400000004</v>
      </c>
      <c r="K14" s="169">
        <f>+'ISR BI'!E12</f>
        <v>3193795.43</v>
      </c>
      <c r="L14" s="218">
        <f t="shared" si="0"/>
        <v>186086376.96000004</v>
      </c>
    </row>
    <row r="15" spans="1:12">
      <c r="A15" s="248">
        <v>20</v>
      </c>
      <c r="B15" s="217" t="s">
        <v>129</v>
      </c>
      <c r="C15" s="169">
        <f>ROUND(+IF('PART 2023'!$G$4&lt;1,'PISO 2021'!$J15*'PART 2023'!$E$4,'PISO 2021'!C15+Copete!C15),2)</f>
        <v>41391398.770000003</v>
      </c>
      <c r="D15" s="169">
        <f>ROUND(+IF('PART 2023'!$G$5&lt;1,'PISO 2021'!$J15*'PART 2023'!$E$5,'PISO 2021'!D15+Copete!D15),2)</f>
        <v>7031740.8499999996</v>
      </c>
      <c r="E15" s="178">
        <f>ROUND(+'PART 2023'!E$11*'Art.14 Frac.III'!R14,2)</f>
        <v>14550945.09</v>
      </c>
      <c r="F15" s="169">
        <f>ROUND(+IF('PART 2023'!$G$6&lt;1,'PISO 2021'!$J15*'PART 2023'!$E$6,'PISO 2021'!E15+Copete!E15),2)</f>
        <v>1152587.4099999999</v>
      </c>
      <c r="G15" s="169">
        <f>ROUND(+IF('PART 2023'!$G$7&lt;1,'PISO 2021'!$J15*'PART 2023'!$E$7,'PISO 2021'!F15+Copete!F15),2)</f>
        <v>2144339.52</v>
      </c>
      <c r="H15" s="169">
        <f>ROUND(+IF('PART 2023'!$G$8&lt;1,'PISO 2021'!$J15*'PART 2023'!$E$8,'PISO 2021'!G15+Copete!G15),2)</f>
        <v>2532308.84</v>
      </c>
      <c r="I15" s="169">
        <f>ROUND(+IF('PART 2023'!$G$9&lt;1,'PISO 2021'!$J15*'PART 2023'!$E$9,'PISO 2021'!H15+Copete!H15),2)</f>
        <v>165726.41</v>
      </c>
      <c r="J15" s="169">
        <f>+ROUND('COEF Art 14 F II'!M16,2)</f>
        <v>3047815.85</v>
      </c>
      <c r="K15" s="169">
        <f>+'ISR BI'!E13</f>
        <v>1508889.25</v>
      </c>
      <c r="L15" s="218">
        <f t="shared" si="0"/>
        <v>73525751.989999995</v>
      </c>
    </row>
    <row r="16" spans="1:12">
      <c r="A16" s="248">
        <v>23</v>
      </c>
      <c r="B16" s="217" t="s">
        <v>130</v>
      </c>
      <c r="C16" s="169">
        <f>ROUND(+IF('PART 2023'!$G$4&lt;1,'PISO 2021'!$J16*'PART 2023'!$E$4,'PISO 2021'!C16+Copete!C16),2)</f>
        <v>33958002.359999999</v>
      </c>
      <c r="D16" s="169">
        <f>ROUND(+IF('PART 2023'!$G$5&lt;1,'PISO 2021'!$J16*'PART 2023'!$E$5,'PISO 2021'!D16+Copete!D16),2)</f>
        <v>5131409.37</v>
      </c>
      <c r="E16" s="178">
        <f>ROUND(+'PART 2023'!E$11*'Art.14 Frac.III'!R15,2)</f>
        <v>6524430.04</v>
      </c>
      <c r="F16" s="169">
        <f>ROUND(+IF('PART 2023'!$G$6&lt;1,'PISO 2021'!$J16*'PART 2023'!$E$6,'PISO 2021'!E16+Copete!E16),2)</f>
        <v>1055328.6200000001</v>
      </c>
      <c r="G16" s="169">
        <f>ROUND(+IF('PART 2023'!$G$7&lt;1,'PISO 2021'!$J16*'PART 2023'!$E$7,'PISO 2021'!F16+Copete!F16),2)</f>
        <v>1851120.32</v>
      </c>
      <c r="H16" s="169">
        <f>ROUND(+IF('PART 2023'!$G$8&lt;1,'PISO 2021'!$J16*'PART 2023'!$E$8,'PISO 2021'!G16+Copete!G16),2)</f>
        <v>1439509.83</v>
      </c>
      <c r="I16" s="169">
        <f>ROUND(+IF('PART 2023'!$G$9&lt;1,'PISO 2021'!$J16*'PART 2023'!$E$9,'PISO 2021'!H16+Copete!H16),2)</f>
        <v>173518.87</v>
      </c>
      <c r="J16" s="169">
        <f>+ROUND('COEF Art 14 F II'!M17,2)</f>
        <v>498760.18</v>
      </c>
      <c r="K16" s="169">
        <f>+'ISR BI'!E14</f>
        <v>65518.22</v>
      </c>
      <c r="L16" s="218">
        <f t="shared" si="0"/>
        <v>50697597.809999987</v>
      </c>
    </row>
    <row r="17" spans="1:12">
      <c r="A17" s="248">
        <v>21</v>
      </c>
      <c r="B17" s="217" t="s">
        <v>7</v>
      </c>
      <c r="C17" s="169">
        <f>ROUND(+IF('PART 2023'!$G$4&lt;1,'PISO 2021'!$J17*'PART 2023'!$E$4,'PISO 2021'!C17+Copete!C17),2)</f>
        <v>64696410.170000002</v>
      </c>
      <c r="D17" s="169">
        <f>ROUND(+IF('PART 2023'!$G$5&lt;1,'PISO 2021'!$J17*'PART 2023'!$E$5,'PISO 2021'!D17+Copete!D17),2)</f>
        <v>9469658.8200000003</v>
      </c>
      <c r="E17" s="178">
        <f>ROUND(+'PART 2023'!E$11*'Art.14 Frac.III'!R16,2)</f>
        <v>4134905.43</v>
      </c>
      <c r="F17" s="169">
        <f>ROUND(+IF('PART 2023'!$G$6&lt;1,'PISO 2021'!$J17*'PART 2023'!$E$6,'PISO 2021'!E17+Copete!E17),2)</f>
        <v>2063381.6</v>
      </c>
      <c r="G17" s="169">
        <f>ROUND(+IF('PART 2023'!$G$7&lt;1,'PISO 2021'!$J17*'PART 2023'!$E$7,'PISO 2021'!F17+Copete!F17),2)</f>
        <v>3570927.49</v>
      </c>
      <c r="H17" s="169">
        <f>ROUND(+IF('PART 2023'!$G$8&lt;1,'PISO 2021'!$J17*'PART 2023'!$E$8,'PISO 2021'!G17+Copete!G17),2)</f>
        <v>2435646.75</v>
      </c>
      <c r="I17" s="169">
        <f>ROUND(+IF('PART 2023'!$G$9&lt;1,'PISO 2021'!$J17*'PART 2023'!$E$9,'PISO 2021'!H17+Copete!H17),2)</f>
        <v>348650.17</v>
      </c>
      <c r="J17" s="169">
        <f>+ROUND('COEF Art 14 F II'!M18,2)</f>
        <v>669743.54</v>
      </c>
      <c r="K17" s="169">
        <f>+'ISR BI'!E15</f>
        <v>157866.34</v>
      </c>
      <c r="L17" s="218">
        <f t="shared" si="0"/>
        <v>87547190.310000017</v>
      </c>
    </row>
    <row r="18" spans="1:12">
      <c r="A18" s="248">
        <v>22</v>
      </c>
      <c r="B18" s="217" t="s">
        <v>131</v>
      </c>
      <c r="C18" s="169">
        <f>ROUND(+IF('PART 2023'!$G$4&lt;1,'PISO 2021'!$J18*'PART 2023'!$E$4,'PISO 2021'!C18+Copete!C18),2)</f>
        <v>43706543.219999999</v>
      </c>
      <c r="D18" s="169">
        <f>ROUND(+IF('PART 2023'!$G$5&lt;1,'PISO 2021'!$J18*'PART 2023'!$E$5,'PISO 2021'!D18+Copete!D18),2)</f>
        <v>6928157.1299999999</v>
      </c>
      <c r="E18" s="178">
        <f>ROUND(+'PART 2023'!E$11*'Art.14 Frac.III'!R17,2)</f>
        <v>4756879.08</v>
      </c>
      <c r="F18" s="169">
        <f>ROUND(+IF('PART 2023'!$G$6&lt;1,'PISO 2021'!$J18*'PART 2023'!$E$6,'PISO 2021'!E18+Copete!E18),2)</f>
        <v>1302581.98</v>
      </c>
      <c r="G18" s="169">
        <f>ROUND(+IF('PART 2023'!$G$7&lt;1,'PISO 2021'!$J18*'PART 2023'!$E$7,'PISO 2021'!F18+Copete!F18),2)</f>
        <v>2335890.29</v>
      </c>
      <c r="H18" s="169">
        <f>ROUND(+IF('PART 2023'!$G$8&lt;1,'PISO 2021'!$J18*'PART 2023'!$E$8,'PISO 2021'!G18+Copete!G18),2)</f>
        <v>2176659.94</v>
      </c>
      <c r="I18" s="169">
        <f>ROUND(+IF('PART 2023'!$G$9&lt;1,'PISO 2021'!$J18*'PART 2023'!$E$9,'PISO 2021'!H18+Copete!H18),2)</f>
        <v>204266.9</v>
      </c>
      <c r="J18" s="169">
        <f>+ROUND('COEF Art 14 F II'!M19,2)</f>
        <v>2336526.08</v>
      </c>
      <c r="K18" s="169">
        <f>+'ISR BI'!E16</f>
        <v>3829564.15</v>
      </c>
      <c r="L18" s="218">
        <f t="shared" si="0"/>
        <v>67577068.769999996</v>
      </c>
    </row>
    <row r="19" spans="1:12">
      <c r="A19" s="248">
        <v>25</v>
      </c>
      <c r="B19" s="217" t="s">
        <v>8</v>
      </c>
      <c r="C19" s="169">
        <f>ROUND(+IF('PART 2023'!$G$4&lt;1,'PISO 2021'!$J19*'PART 2023'!$E$4,'PISO 2021'!C19+Copete!C19),2)</f>
        <v>175888496.59</v>
      </c>
      <c r="D19" s="169">
        <f>ROUND(+IF('PART 2023'!$G$5&lt;1,'PISO 2021'!$J19*'PART 2023'!$E$5,'PISO 2021'!D19+Copete!D19),2)</f>
        <v>25463581.52</v>
      </c>
      <c r="E19" s="178">
        <f>ROUND(+'PART 2023'!E$11*'Art.14 Frac.III'!R18,2)</f>
        <v>3032019.89</v>
      </c>
      <c r="F19" s="169">
        <f>ROUND(+IF('PART 2023'!$G$6&lt;1,'PISO 2021'!$J19*'PART 2023'!$E$6,'PISO 2021'!E19+Copete!E19),2)</f>
        <v>5658089.0599999996</v>
      </c>
      <c r="G19" s="169">
        <f>ROUND(+IF('PART 2023'!$G$7&lt;1,'PISO 2021'!$J19*'PART 2023'!$E$7,'PISO 2021'!F19+Copete!F19),2)</f>
        <v>9748737.0399999991</v>
      </c>
      <c r="H19" s="169">
        <f>ROUND(+IF('PART 2023'!$G$8&lt;1,'PISO 2021'!$J19*'PART 2023'!$E$8,'PISO 2021'!G19+Copete!G19),2)</f>
        <v>6340164.8499999996</v>
      </c>
      <c r="I19" s="169">
        <f>ROUND(+IF('PART 2023'!$G$9&lt;1,'PISO 2021'!$J19*'PART 2023'!$E$9,'PISO 2021'!H19+Copete!H19),2)</f>
        <v>964439.71</v>
      </c>
      <c r="J19" s="169">
        <f>+ROUND('COEF Art 14 F II'!M20,2)</f>
        <v>1889645.94</v>
      </c>
      <c r="K19" s="169">
        <f>+'ISR BI'!E17</f>
        <v>33856.04</v>
      </c>
      <c r="L19" s="218">
        <f t="shared" si="0"/>
        <v>229019030.63999999</v>
      </c>
    </row>
    <row r="20" spans="1:12">
      <c r="A20" s="248">
        <v>27</v>
      </c>
      <c r="B20" s="217" t="s">
        <v>9</v>
      </c>
      <c r="C20" s="169">
        <f>ROUND(+IF('PART 2023'!$G$4&lt;1,'PISO 2021'!$J20*'PART 2023'!$E$4,'PISO 2021'!C20+Copete!C20),2)</f>
        <v>22713347.359999999</v>
      </c>
      <c r="D20" s="169">
        <f>ROUND(+IF('PART 2023'!$G$5&lt;1,'PISO 2021'!$J20*'PART 2023'!$E$5,'PISO 2021'!D20+Copete!D20),2)</f>
        <v>3309233.35</v>
      </c>
      <c r="E20" s="178">
        <f>ROUND(+'PART 2023'!E$11*'Art.14 Frac.III'!R19,2)</f>
        <v>2213679.69</v>
      </c>
      <c r="F20" s="169">
        <f>ROUND(+IF('PART 2023'!$G$6&lt;1,'PISO 2021'!$J20*'PART 2023'!$E$6,'PISO 2021'!E20+Copete!E20),2)</f>
        <v>727043.01</v>
      </c>
      <c r="G20" s="169">
        <f>ROUND(+IF('PART 2023'!$G$7&lt;1,'PISO 2021'!$J20*'PART 2023'!$E$7,'PISO 2021'!F20+Copete!F20),2)</f>
        <v>1255876.51</v>
      </c>
      <c r="H20" s="169">
        <f>ROUND(+IF('PART 2023'!$G$8&lt;1,'PISO 2021'!$J20*'PART 2023'!$E$8,'PISO 2021'!G20+Copete!G20),2)</f>
        <v>839749.26</v>
      </c>
      <c r="I20" s="169">
        <f>ROUND(+IF('PART 2023'!$G$9&lt;1,'PISO 2021'!$J20*'PART 2023'!$E$9,'PISO 2021'!H20+Copete!H20),2)</f>
        <v>123306.03</v>
      </c>
      <c r="J20" s="169">
        <f>+ROUND('COEF Art 14 F II'!M21,2)</f>
        <v>159263.59</v>
      </c>
      <c r="K20" s="169">
        <f>+'ISR BI'!E18</f>
        <v>4963.54</v>
      </c>
      <c r="L20" s="218">
        <f t="shared" si="0"/>
        <v>31346462.340000007</v>
      </c>
    </row>
    <row r="21" spans="1:12">
      <c r="A21" s="248">
        <v>26</v>
      </c>
      <c r="B21" s="217" t="s">
        <v>132</v>
      </c>
      <c r="C21" s="169">
        <f>ROUND(+IF('PART 2023'!$G$4&lt;1,'PISO 2021'!$J21*'PART 2023'!$E$4,'PISO 2021'!C21+Copete!C21),2)</f>
        <v>15816659</v>
      </c>
      <c r="D21" s="169">
        <f>ROUND(+IF('PART 2023'!$G$5&lt;1,'PISO 2021'!$J21*'PART 2023'!$E$5,'PISO 2021'!D21+Copete!D21),2)</f>
        <v>2299119.4900000002</v>
      </c>
      <c r="E21" s="178">
        <f>ROUND(+'PART 2023'!E$11*'Art.14 Frac.III'!R20,2)</f>
        <v>4324935.66</v>
      </c>
      <c r="F21" s="169">
        <f>ROUND(+IF('PART 2023'!$G$6&lt;1,'PISO 2021'!$J21*'PART 2023'!$E$6,'PISO 2021'!E21+Copete!E21),2)</f>
        <v>507195.2</v>
      </c>
      <c r="G21" s="169">
        <f>ROUND(+IF('PART 2023'!$G$7&lt;1,'PISO 2021'!$J21*'PART 2023'!$E$7,'PISO 2021'!F21+Copete!F21),2)</f>
        <v>875305.17</v>
      </c>
      <c r="H21" s="169">
        <f>ROUND(+IF('PART 2023'!$G$8&lt;1,'PISO 2021'!$J21*'PART 2023'!$E$8,'PISO 2021'!G21+Copete!G21),2)</f>
        <v>579466.12</v>
      </c>
      <c r="I21" s="169">
        <f>ROUND(+IF('PART 2023'!$G$9&lt;1,'PISO 2021'!$J21*'PART 2023'!$E$9,'PISO 2021'!H21+Copete!H21),2)</f>
        <v>86177.39</v>
      </c>
      <c r="J21" s="169">
        <f>+ROUND('COEF Art 14 F II'!M22,2)</f>
        <v>172914.16</v>
      </c>
      <c r="K21" s="169">
        <f>+'ISR BI'!E19</f>
        <v>164642.49</v>
      </c>
      <c r="L21" s="218">
        <f t="shared" si="0"/>
        <v>24826414.680000003</v>
      </c>
    </row>
    <row r="22" spans="1:12">
      <c r="A22" s="248">
        <v>29</v>
      </c>
      <c r="B22" s="217" t="s">
        <v>10</v>
      </c>
      <c r="C22" s="169">
        <f>ROUND(+IF('PART 2023'!$G$4&lt;1,'PISO 2021'!$J22*'PART 2023'!$E$4,'PISO 2021'!C22+Copete!C22),2)</f>
        <v>140067219.81</v>
      </c>
      <c r="D22" s="169">
        <f>ROUND(+IF('PART 2023'!$G$5&lt;1,'PISO 2021'!$J22*'PART 2023'!$E$5,'PISO 2021'!D22+Copete!D22),2)</f>
        <v>20476076.850000001</v>
      </c>
      <c r="E22" s="178">
        <f>ROUND(+'PART 2023'!E$11*'Art.14 Frac.III'!R21,2)</f>
        <v>4227672.75</v>
      </c>
      <c r="F22" s="169">
        <f>ROUND(+IF('PART 2023'!$G$6&lt;1,'PISO 2021'!$J22*'PART 2023'!$E$6,'PISO 2021'!E22+Copete!E22),2)</f>
        <v>4471621.68</v>
      </c>
      <c r="G22" s="169">
        <f>ROUND(+IF('PART 2023'!$G$7&lt;1,'PISO 2021'!$J22*'PART 2023'!$E$7,'PISO 2021'!F22+Copete!F22),2)</f>
        <v>7734728.0800000001</v>
      </c>
      <c r="H22" s="169">
        <f>ROUND(+IF('PART 2023'!$G$8&lt;1,'PISO 2021'!$J22*'PART 2023'!$E$8,'PISO 2021'!G22+Copete!G22),2)</f>
        <v>5247475.3600000003</v>
      </c>
      <c r="I22" s="169">
        <f>ROUND(+IF('PART 2023'!$G$9&lt;1,'PISO 2021'!$J22*'PART 2023'!$E$9,'PISO 2021'!H22+Copete!H22),2)</f>
        <v>756336.47</v>
      </c>
      <c r="J22" s="169">
        <f>+ROUND('COEF Art 14 F II'!M23,2)</f>
        <v>2021156.74</v>
      </c>
      <c r="K22" s="169">
        <f>+'ISR BI'!E20</f>
        <v>100842.12</v>
      </c>
      <c r="L22" s="218">
        <f t="shared" si="0"/>
        <v>185103129.86000004</v>
      </c>
    </row>
    <row r="23" spans="1:12">
      <c r="A23" s="248">
        <v>30</v>
      </c>
      <c r="B23" s="217" t="s">
        <v>133</v>
      </c>
      <c r="C23" s="169">
        <f>ROUND(+IF('PART 2023'!$G$4&lt;1,'PISO 2021'!$J23*'PART 2023'!$E$4,'PISO 2021'!C23+Copete!C23),2)</f>
        <v>230976581.24000001</v>
      </c>
      <c r="D23" s="169">
        <f>ROUND(+IF('PART 2023'!$G$5&lt;1,'PISO 2021'!$J23*'PART 2023'!$E$5,'PISO 2021'!D23+Copete!D23),2)</f>
        <v>36675575.93</v>
      </c>
      <c r="E23" s="178">
        <f>ROUND(+'PART 2023'!E$11*'Art.14 Frac.III'!R22,2)</f>
        <v>5750315.6200000001</v>
      </c>
      <c r="F23" s="169">
        <f>ROUND(+IF('PART 2023'!$G$6&lt;1,'PISO 2021'!$J23*'PART 2023'!$E$6,'PISO 2021'!E23+Copete!E23),2)</f>
        <v>6873059.0300000003</v>
      </c>
      <c r="G23" s="169">
        <f>ROUND(+IF('PART 2023'!$G$7&lt;1,'PISO 2021'!$J23*'PART 2023'!$E$7,'PISO 2021'!F23+Copete!F23),2)</f>
        <v>12335541.17</v>
      </c>
      <c r="H23" s="169">
        <f>ROUND(+IF('PART 2023'!$G$8&lt;1,'PISO 2021'!$J23*'PART 2023'!$E$8,'PISO 2021'!G23+Copete!G23),2)</f>
        <v>11565322.09</v>
      </c>
      <c r="I23" s="169">
        <f>ROUND(+IF('PART 2023'!$G$9&lt;1,'PISO 2021'!$J23*'PART 2023'!$E$9,'PISO 2021'!H23+Copete!H23),2)</f>
        <v>1075825.28</v>
      </c>
      <c r="J23" s="169">
        <f>+ROUND('COEF Art 14 F II'!M24,2)</f>
        <v>13442680.16</v>
      </c>
      <c r="K23" s="169">
        <f>+'ISR BI'!E21</f>
        <v>27158244.620000001</v>
      </c>
      <c r="L23" s="218">
        <f t="shared" si="0"/>
        <v>345853145.13999999</v>
      </c>
    </row>
    <row r="24" spans="1:12">
      <c r="A24" s="248">
        <v>32</v>
      </c>
      <c r="B24" s="217" t="s">
        <v>11</v>
      </c>
      <c r="C24" s="169">
        <f>ROUND(+IF('PART 2023'!$G$4&lt;1,'PISO 2021'!$J24*'PART 2023'!$E$4,'PISO 2021'!C24+Copete!C24),2)</f>
        <v>28983608.239999998</v>
      </c>
      <c r="D24" s="169">
        <f>ROUND(+IF('PART 2023'!$G$5&lt;1,'PISO 2021'!$J24*'PART 2023'!$E$5,'PISO 2021'!D24+Copete!D24),2)</f>
        <v>4341286.1399999997</v>
      </c>
      <c r="E24" s="178">
        <f>ROUND(+'PART 2023'!E$11*'Art.14 Frac.III'!R23,2)</f>
        <v>3015614.87</v>
      </c>
      <c r="F24" s="169">
        <f>ROUND(+IF('PART 2023'!$G$6&lt;1,'PISO 2021'!$J24*'PART 2023'!$E$6,'PISO 2021'!E24+Copete!E24),2)</f>
        <v>907353.57</v>
      </c>
      <c r="G24" s="169">
        <f>ROUND(+IF('PART 2023'!$G$7&lt;1,'PISO 2021'!$J24*'PART 2023'!$E$7,'PISO 2021'!F24+Copete!F24),2)</f>
        <v>1585495.88</v>
      </c>
      <c r="H24" s="169">
        <f>ROUND(+IF('PART 2023'!$G$8&lt;1,'PISO 2021'!$J24*'PART 2023'!$E$8,'PISO 2021'!G24+Copete!G24),2)</f>
        <v>1190169.78</v>
      </c>
      <c r="I24" s="169">
        <f>ROUND(+IF('PART 2023'!$G$9&lt;1,'PISO 2021'!$J24*'PART 2023'!$E$9,'PISO 2021'!H24+Copete!H24),2)</f>
        <v>150365.10999999999</v>
      </c>
      <c r="J24" s="169">
        <f>+ROUND('COEF Art 14 F II'!M25,2)</f>
        <v>380675.15</v>
      </c>
      <c r="K24" s="169">
        <f>+'ISR BI'!E22</f>
        <v>40779.83</v>
      </c>
      <c r="L24" s="218">
        <f t="shared" si="0"/>
        <v>40595348.57</v>
      </c>
    </row>
    <row r="25" spans="1:12">
      <c r="A25" s="248">
        <v>33</v>
      </c>
      <c r="B25" s="217" t="s">
        <v>12</v>
      </c>
      <c r="C25" s="169">
        <f>ROUND(+IF('PART 2023'!$G$4&lt;1,'PISO 2021'!$J25*'PART 2023'!$E$4,'PISO 2021'!C25+Copete!C25),2)</f>
        <v>433086960.48000002</v>
      </c>
      <c r="D25" s="169">
        <f>ROUND(+IF('PART 2023'!$G$5&lt;1,'PISO 2021'!$J25*'PART 2023'!$E$5,'PISO 2021'!D25+Copete!D25),2)</f>
        <v>66601684.030000001</v>
      </c>
      <c r="E25" s="178">
        <f>ROUND(+'PART 2023'!E$11*'Art.14 Frac.III'!R24,2)</f>
        <v>10287289.82</v>
      </c>
      <c r="F25" s="169">
        <f>ROUND(+IF('PART 2023'!$G$6&lt;1,'PISO 2021'!$J25*'PART 2023'!$E$6,'PISO 2021'!E25+Copete!E25),2)</f>
        <v>13259973.85</v>
      </c>
      <c r="G25" s="169">
        <f>ROUND(+IF('PART 2023'!$G$7&lt;1,'PISO 2021'!$J25*'PART 2023'!$E$7,'PISO 2021'!F25+Copete!F25),2)</f>
        <v>23441608.98</v>
      </c>
      <c r="H25" s="169">
        <f>ROUND(+IF('PART 2023'!$G$8&lt;1,'PISO 2021'!$J25*'PART 2023'!$E$8,'PISO 2021'!G25+Copete!G25),2)</f>
        <v>19517582.739999998</v>
      </c>
      <c r="I25" s="169">
        <f>ROUND(+IF('PART 2023'!$G$9&lt;1,'PISO 2021'!$J25*'PART 2023'!$E$9,'PISO 2021'!H25+Copete!H25),2)</f>
        <v>2144792.23</v>
      </c>
      <c r="J25" s="169">
        <f>+ROUND('COEF Art 14 F II'!M26,2)</f>
        <v>18369694.719999999</v>
      </c>
      <c r="K25" s="169">
        <f>+'ISR BI'!E23</f>
        <v>13984685.789999999</v>
      </c>
      <c r="L25" s="218">
        <f t="shared" si="0"/>
        <v>600694272.63999999</v>
      </c>
    </row>
    <row r="26" spans="1:12">
      <c r="A26" s="248">
        <v>34</v>
      </c>
      <c r="B26" s="217" t="s">
        <v>134</v>
      </c>
      <c r="C26" s="169">
        <f>ROUND(+IF('PART 2023'!$G$4&lt;1,'PISO 2021'!$J26*'PART 2023'!$E$4,'PISO 2021'!C26+Copete!C26),2)</f>
        <v>55694654.829999998</v>
      </c>
      <c r="D26" s="169">
        <f>ROUND(+IF('PART 2023'!$G$5&lt;1,'PISO 2021'!$J26*'PART 2023'!$E$5,'PISO 2021'!D26+Copete!D26),2)</f>
        <v>8210685.9299999997</v>
      </c>
      <c r="E26" s="178">
        <f>ROUND(+'PART 2023'!E$11*'Art.14 Frac.III'!R25,2)</f>
        <v>4532972.62</v>
      </c>
      <c r="F26" s="169">
        <f>ROUND(+IF('PART 2023'!$G$6&lt;1,'PISO 2021'!$J26*'PART 2023'!$E$6,'PISO 2021'!E26+Copete!E26),2)</f>
        <v>1766195.98</v>
      </c>
      <c r="G26" s="169">
        <f>ROUND(+IF('PART 2023'!$G$7&lt;1,'PISO 2021'!$J26*'PART 2023'!$E$7,'PISO 2021'!F26+Copete!F26),2)</f>
        <v>3065626.01</v>
      </c>
      <c r="H26" s="169">
        <f>ROUND(+IF('PART 2023'!$G$8&lt;1,'PISO 2021'!$J26*'PART 2023'!$E$8,'PISO 2021'!G26+Copete!G26),2)</f>
        <v>2155422.08</v>
      </c>
      <c r="I26" s="169">
        <f>ROUND(+IF('PART 2023'!$G$9&lt;1,'PISO 2021'!$J26*'PART 2023'!$E$9,'PISO 2021'!H26+Copete!H26),2)</f>
        <v>296686.32</v>
      </c>
      <c r="J26" s="169">
        <f>+ROUND('COEF Art 14 F II'!M27,2)</f>
        <v>783846.03</v>
      </c>
      <c r="K26" s="169">
        <f>+'ISR BI'!E24</f>
        <v>593651.47</v>
      </c>
      <c r="L26" s="218">
        <f t="shared" si="0"/>
        <v>77099741.269999996</v>
      </c>
    </row>
    <row r="27" spans="1:12">
      <c r="A27" s="248">
        <v>35</v>
      </c>
      <c r="B27" s="217" t="s">
        <v>13</v>
      </c>
      <c r="C27" s="169">
        <f>ROUND(+IF('PART 2023'!$G$4&lt;1,'PISO 2021'!$J27*'PART 2023'!$E$4,'PISO 2021'!C27+Copete!C27),2)</f>
        <v>9465365.6699999999</v>
      </c>
      <c r="D27" s="169">
        <f>ROUND(+IF('PART 2023'!$G$5&lt;1,'PISO 2021'!$J27*'PART 2023'!$E$5,'PISO 2021'!D27+Copete!D27),2)</f>
        <v>1414982.89</v>
      </c>
      <c r="E27" s="178">
        <f>ROUND(+'PART 2023'!E$11*'Art.14 Frac.III'!R26,2)</f>
        <v>7022297.4699999997</v>
      </c>
      <c r="F27" s="169">
        <f>ROUND(+IF('PART 2023'!$G$6&lt;1,'PISO 2021'!$J27*'PART 2023'!$E$6,'PISO 2021'!E27+Copete!E27),2)</f>
        <v>296798.73</v>
      </c>
      <c r="G27" s="169">
        <f>ROUND(+IF('PART 2023'!$G$7&lt;1,'PISO 2021'!$J27*'PART 2023'!$E$7,'PISO 2021'!F27+Copete!F27),2)</f>
        <v>518186.25</v>
      </c>
      <c r="H27" s="169">
        <f>ROUND(+IF('PART 2023'!$G$8&lt;1,'PISO 2021'!$J27*'PART 2023'!$E$8,'PISO 2021'!G27+Copete!G27),2)</f>
        <v>385900.07</v>
      </c>
      <c r="I27" s="169">
        <f>ROUND(+IF('PART 2023'!$G$9&lt;1,'PISO 2021'!$J27*'PART 2023'!$E$9,'PISO 2021'!H27+Copete!H27),2)</f>
        <v>49269.43</v>
      </c>
      <c r="J27" s="169">
        <f>+ROUND('COEF Art 14 F II'!M28,2)</f>
        <v>110269.02</v>
      </c>
      <c r="K27" s="169">
        <f>+'ISR BI'!E25</f>
        <v>11456.12</v>
      </c>
      <c r="L27" s="218">
        <f t="shared" si="0"/>
        <v>19274525.650000002</v>
      </c>
    </row>
    <row r="28" spans="1:12">
      <c r="A28" s="248">
        <v>61</v>
      </c>
      <c r="B28" s="217" t="s">
        <v>14</v>
      </c>
      <c r="C28" s="169">
        <f>ROUND(+IF('PART 2023'!$G$4&lt;1,'PISO 2021'!$J28*'PART 2023'!$E$4,'PISO 2021'!C28+Copete!C28),2)</f>
        <v>39769605</v>
      </c>
      <c r="D28" s="169">
        <f>ROUND(+IF('PART 2023'!$G$5&lt;1,'PISO 2021'!$J28*'PART 2023'!$E$5,'PISO 2021'!D28+Copete!D28),2)</f>
        <v>5781268.3200000003</v>
      </c>
      <c r="E28" s="178">
        <f>ROUND(+'PART 2023'!E$11*'Art.14 Frac.III'!R27,2)</f>
        <v>6495139.1799999997</v>
      </c>
      <c r="F28" s="169">
        <f>ROUND(+IF('PART 2023'!$G$6&lt;1,'PISO 2021'!$J28*'PART 2023'!$E$6,'PISO 2021'!E28+Copete!E28),2)</f>
        <v>1275240.54</v>
      </c>
      <c r="G28" s="169">
        <f>ROUND(+IF('PART 2023'!$G$7&lt;1,'PISO 2021'!$J28*'PART 2023'!$E$7,'PISO 2021'!F28+Copete!F28),2)</f>
        <v>2200830.19</v>
      </c>
      <c r="H28" s="169">
        <f>ROUND(+IF('PART 2023'!$G$8&lt;1,'PISO 2021'!$J28*'PART 2023'!$E$8,'PISO 2021'!G28+Copete!G28),2)</f>
        <v>1457350.67</v>
      </c>
      <c r="I28" s="169">
        <f>ROUND(+IF('PART 2023'!$G$9&lt;1,'PISO 2021'!$J28*'PART 2023'!$E$9,'PISO 2021'!H28+Copete!H28),2)</f>
        <v>216665.86</v>
      </c>
      <c r="J28" s="169">
        <f>+ROUND('COEF Art 14 F II'!M29,2)</f>
        <v>381599.26</v>
      </c>
      <c r="K28" s="169">
        <f>+'ISR BI'!E26</f>
        <v>4246.05</v>
      </c>
      <c r="L28" s="218">
        <f t="shared" si="0"/>
        <v>57581945.069999993</v>
      </c>
    </row>
    <row r="29" spans="1:12">
      <c r="A29" s="248">
        <v>36</v>
      </c>
      <c r="B29" s="217" t="s">
        <v>15</v>
      </c>
      <c r="C29" s="169">
        <f>ROUND(+IF('PART 2023'!$G$4&lt;1,'PISO 2021'!$J29*'PART 2023'!$E$4,'PISO 2021'!C29+Copete!C29),2)</f>
        <v>55514440.409999996</v>
      </c>
      <c r="D29" s="169">
        <f>ROUND(+IF('PART 2023'!$G$5&lt;1,'PISO 2021'!$J29*'PART 2023'!$E$5,'PISO 2021'!D29+Copete!D29),2)</f>
        <v>8889894.3499999996</v>
      </c>
      <c r="E29" s="178">
        <f>ROUND(+'PART 2023'!E$11*'Art.14 Frac.III'!R28,2)</f>
        <v>7393224.1399999997</v>
      </c>
      <c r="F29" s="169">
        <f>ROUND(+IF('PART 2023'!$G$6&lt;1,'PISO 2021'!$J29*'PART 2023'!$E$6,'PISO 2021'!E29+Copete!E29),2)</f>
        <v>1638999.65</v>
      </c>
      <c r="G29" s="169">
        <f>ROUND(+IF('PART 2023'!$G$7&lt;1,'PISO 2021'!$J29*'PART 2023'!$E$7,'PISO 2021'!F29+Copete!F29),2)</f>
        <v>2953990.38</v>
      </c>
      <c r="H29" s="169">
        <f>ROUND(+IF('PART 2023'!$G$8&lt;1,'PISO 2021'!$J29*'PART 2023'!$E$8,'PISO 2021'!G29+Copete!G29),2)</f>
        <v>2854789.92</v>
      </c>
      <c r="I29" s="169">
        <f>ROUND(+IF('PART 2023'!$G$9&lt;1,'PISO 2021'!$J29*'PART 2023'!$E$9,'PISO 2021'!H29+Copete!H29),2)</f>
        <v>254150.28</v>
      </c>
      <c r="J29" s="169">
        <f>+ROUND('COEF Art 14 F II'!M30,2)</f>
        <v>3680208.11</v>
      </c>
      <c r="K29" s="169">
        <f>+'ISR BI'!E27</f>
        <v>1922690.27</v>
      </c>
      <c r="L29" s="218">
        <f t="shared" si="0"/>
        <v>85102387.50999999</v>
      </c>
    </row>
    <row r="30" spans="1:12">
      <c r="A30" s="248">
        <v>28</v>
      </c>
      <c r="B30" s="217" t="s">
        <v>16</v>
      </c>
      <c r="C30" s="169">
        <f>ROUND(+IF('PART 2023'!$G$4&lt;1,'PISO 2021'!$J30*'PART 2023'!$E$4,'PISO 2021'!C30+Copete!C30),2)</f>
        <v>743217899.15999997</v>
      </c>
      <c r="D30" s="169">
        <f>ROUND(+IF('PART 2023'!$G$5&lt;1,'PISO 2021'!$J30*'PART 2023'!$E$5,'PISO 2021'!D30+Copete!D30),2)</f>
        <v>114402229.64</v>
      </c>
      <c r="E30" s="178">
        <f>ROUND(+'PART 2023'!E$11*'Art.14 Frac.III'!R29,2)</f>
        <v>25062990.050000001</v>
      </c>
      <c r="F30" s="169">
        <f>ROUND(+IF('PART 2023'!$G$6&lt;1,'PISO 2021'!$J30*'PART 2023'!$E$6,'PISO 2021'!E30+Copete!E30),2)</f>
        <v>22736859.73</v>
      </c>
      <c r="G30" s="169">
        <f>ROUND(+IF('PART 2023'!$G$7&lt;1,'PISO 2021'!$J30*'PART 2023'!$E$7,'PISO 2021'!F30+Copete!F30),2)</f>
        <v>40212511.990000002</v>
      </c>
      <c r="H30" s="169">
        <f>ROUND(+IF('PART 2023'!$G$8&lt;1,'PISO 2021'!$J30*'PART 2023'!$E$8,'PISO 2021'!G30+Copete!G30),2)</f>
        <v>33601575.950000003</v>
      </c>
      <c r="I30" s="169">
        <f>ROUND(+IF('PART 2023'!$G$9&lt;1,'PISO 2021'!$J30*'PART 2023'!$E$9,'PISO 2021'!H30+Copete!H30),2)</f>
        <v>3674333.17</v>
      </c>
      <c r="J30" s="169">
        <f>+ROUND('COEF Art 14 F II'!M31,2)</f>
        <v>27340533.260000002</v>
      </c>
      <c r="K30" s="169">
        <f>+'ISR BI'!E28</f>
        <v>17473032.41</v>
      </c>
      <c r="L30" s="218">
        <f t="shared" si="0"/>
        <v>1027721965.3599999</v>
      </c>
    </row>
    <row r="31" spans="1:12">
      <c r="A31" s="248">
        <v>37</v>
      </c>
      <c r="B31" s="217" t="s">
        <v>135</v>
      </c>
      <c r="C31" s="169">
        <f>ROUND(+IF('PART 2023'!$G$4&lt;1,'PISO 2021'!$J31*'PART 2023'!$E$4,'PISO 2021'!C31+Copete!C31),2)</f>
        <v>15715610.6</v>
      </c>
      <c r="D31" s="169">
        <f>ROUND(+IF('PART 2023'!$G$5&lt;1,'PISO 2021'!$J31*'PART 2023'!$E$5,'PISO 2021'!D31+Copete!D31),2)</f>
        <v>2272621.29</v>
      </c>
      <c r="E31" s="178">
        <f>ROUND(+'PART 2023'!E$11*'Art.14 Frac.III'!R30,2)</f>
        <v>3473262.45</v>
      </c>
      <c r="F31" s="169">
        <f>ROUND(+IF('PART 2023'!$G$6&lt;1,'PISO 2021'!$J31*'PART 2023'!$E$6,'PISO 2021'!E31+Copete!E31),2)</f>
        <v>505987.61</v>
      </c>
      <c r="G31" s="169">
        <f>ROUND(+IF('PART 2023'!$G$7&lt;1,'PISO 2021'!$J31*'PART 2023'!$E$7,'PISO 2021'!F31+Copete!F31),2)</f>
        <v>871415.09</v>
      </c>
      <c r="H31" s="169">
        <f>ROUND(+IF('PART 2023'!$G$8&lt;1,'PISO 2021'!$J31*'PART 2023'!$E$8,'PISO 2021'!G31+Copete!G31),2)</f>
        <v>563944.85</v>
      </c>
      <c r="I31" s="169">
        <f>ROUND(+IF('PART 2023'!$G$9&lt;1,'PISO 2021'!$J31*'PART 2023'!$E$9,'PISO 2021'!H31+Copete!H31),2)</f>
        <v>86322.51</v>
      </c>
      <c r="J31" s="169">
        <f>+ROUND('COEF Art 14 F II'!M32,2)</f>
        <v>127307.12</v>
      </c>
      <c r="K31" s="169">
        <f>+'ISR BI'!E29</f>
        <v>4882.46</v>
      </c>
      <c r="L31" s="218">
        <f t="shared" si="0"/>
        <v>23621353.980000004</v>
      </c>
    </row>
    <row r="32" spans="1:12">
      <c r="A32" s="248">
        <v>39</v>
      </c>
      <c r="B32" s="217" t="s">
        <v>17</v>
      </c>
      <c r="C32" s="169">
        <f>ROUND(+IF('PART 2023'!$G$4&lt;1,'PISO 2021'!$J32*'PART 2023'!$E$4,'PISO 2021'!C32+Copete!C32),2)</f>
        <v>27458045.710000001</v>
      </c>
      <c r="D32" s="169">
        <f>ROUND(+IF('PART 2023'!$G$5&lt;1,'PISO 2021'!$J32*'PART 2023'!$E$5,'PISO 2021'!D32+Copete!D32),2)</f>
        <v>3991847.58</v>
      </c>
      <c r="E32" s="178">
        <f>ROUND(+'PART 2023'!E$11*'Art.14 Frac.III'!R31,2)</f>
        <v>5419099.6100000003</v>
      </c>
      <c r="F32" s="169">
        <f>ROUND(+IF('PART 2023'!$G$6&lt;1,'PISO 2021'!$J32*'PART 2023'!$E$6,'PISO 2021'!E32+Copete!E32),2)</f>
        <v>880410.29</v>
      </c>
      <c r="G32" s="169">
        <f>ROUND(+IF('PART 2023'!$G$7&lt;1,'PISO 2021'!$J32*'PART 2023'!$E$7,'PISO 2021'!F32+Copete!F32),2)</f>
        <v>1519471.59</v>
      </c>
      <c r="H32" s="169">
        <f>ROUND(+IF('PART 2023'!$G$8&lt;1,'PISO 2021'!$J32*'PART 2023'!$E$8,'PISO 2021'!G32+Copete!G32),2)</f>
        <v>1006494.35</v>
      </c>
      <c r="I32" s="169">
        <f>ROUND(+IF('PART 2023'!$G$9&lt;1,'PISO 2021'!$J32*'PART 2023'!$E$9,'PISO 2021'!H32+Copete!H32),2)</f>
        <v>149574.57</v>
      </c>
      <c r="J32" s="169">
        <f>+ROUND('COEF Art 14 F II'!M33,2)</f>
        <v>610673.09</v>
      </c>
      <c r="K32" s="169">
        <f>+'ISR BI'!E30</f>
        <v>15574.13</v>
      </c>
      <c r="L32" s="218">
        <f t="shared" si="0"/>
        <v>41051190.920000009</v>
      </c>
    </row>
    <row r="33" spans="1:12">
      <c r="A33" s="248">
        <v>38</v>
      </c>
      <c r="B33" s="217" t="s">
        <v>18</v>
      </c>
      <c r="C33" s="169">
        <f>ROUND(+IF('PART 2023'!$G$4&lt;1,'PISO 2021'!$J33*'PART 2023'!$E$4,'PISO 2021'!C33+Copete!C33),2)</f>
        <v>16411314.76</v>
      </c>
      <c r="D33" s="169">
        <f>ROUND(+IF('PART 2023'!$G$5&lt;1,'PISO 2021'!$J33*'PART 2023'!$E$5,'PISO 2021'!D33+Copete!D33),2)</f>
        <v>2419378.4300000002</v>
      </c>
      <c r="E33" s="178">
        <f>ROUND(+'PART 2023'!E$11*'Art.14 Frac.III'!R32,2)</f>
        <v>6620468.8200000003</v>
      </c>
      <c r="F33" s="169">
        <f>ROUND(+IF('PART 2023'!$G$6&lt;1,'PISO 2021'!$J33*'PART 2023'!$E$6,'PISO 2021'!E33+Copete!E33),2)</f>
        <v>520442.96</v>
      </c>
      <c r="G33" s="169">
        <f>ROUND(+IF('PART 2023'!$G$7&lt;1,'PISO 2021'!$J33*'PART 2023'!$E$7,'PISO 2021'!F33+Copete!F33),2)</f>
        <v>903339.81</v>
      </c>
      <c r="H33" s="169">
        <f>ROUND(+IF('PART 2023'!$G$8&lt;1,'PISO 2021'!$J33*'PART 2023'!$E$8,'PISO 2021'!G33+Copete!G33),2)</f>
        <v>635098.73</v>
      </c>
      <c r="I33" s="169">
        <f>ROUND(+IF('PART 2023'!$G$9&lt;1,'PISO 2021'!$J33*'PART 2023'!$E$9,'PISO 2021'!H33+Copete!H33),2)</f>
        <v>87425.14</v>
      </c>
      <c r="J33" s="169">
        <f>+ROUND('COEF Art 14 F II'!M34,2)</f>
        <v>141706.35999999999</v>
      </c>
      <c r="K33" s="169">
        <f>+'ISR BI'!E31</f>
        <v>24346.63</v>
      </c>
      <c r="L33" s="218">
        <f t="shared" si="0"/>
        <v>27763521.640000001</v>
      </c>
    </row>
    <row r="34" spans="1:12">
      <c r="A34" s="248">
        <v>40</v>
      </c>
      <c r="B34" s="217" t="s">
        <v>19</v>
      </c>
      <c r="C34" s="169">
        <f>ROUND(+IF('PART 2023'!$G$4&lt;1,'PISO 2021'!$J34*'PART 2023'!$E$4,'PISO 2021'!C34+Copete!C34),2)</f>
        <v>22272433.300000001</v>
      </c>
      <c r="D34" s="169">
        <f>ROUND(+IF('PART 2023'!$G$5&lt;1,'PISO 2021'!$J34*'PART 2023'!$E$5,'PISO 2021'!D34+Copete!D34),2)</f>
        <v>3252885.75</v>
      </c>
      <c r="E34" s="178">
        <f>ROUND(+'PART 2023'!E$11*'Art.14 Frac.III'!R33,2)</f>
        <v>3897890.11</v>
      </c>
      <c r="F34" s="169">
        <f>ROUND(+IF('PART 2023'!$G$6&lt;1,'PISO 2021'!$J34*'PART 2023'!$E$6,'PISO 2021'!E34+Copete!E34),2)</f>
        <v>711571.23</v>
      </c>
      <c r="G34" s="169">
        <f>ROUND(+IF('PART 2023'!$G$7&lt;1,'PISO 2021'!$J34*'PART 2023'!$E$7,'PISO 2021'!F34+Copete!F34),2)</f>
        <v>1230359.96</v>
      </c>
      <c r="H34" s="169">
        <f>ROUND(+IF('PART 2023'!$G$8&lt;1,'PISO 2021'!$J34*'PART 2023'!$E$8,'PISO 2021'!G34+Copete!G34),2)</f>
        <v>831345.89</v>
      </c>
      <c r="I34" s="169">
        <f>ROUND(+IF('PART 2023'!$G$9&lt;1,'PISO 2021'!$J34*'PART 2023'!$E$9,'PISO 2021'!H34+Copete!H34),2)</f>
        <v>120447.52</v>
      </c>
      <c r="J34" s="169">
        <f>+ROUND('COEF Art 14 F II'!M35,2)</f>
        <v>336764.65</v>
      </c>
      <c r="K34" s="169">
        <f>+'ISR BI'!E32</f>
        <v>33947.980000000003</v>
      </c>
      <c r="L34" s="218">
        <f t="shared" si="0"/>
        <v>32687646.390000001</v>
      </c>
    </row>
    <row r="35" spans="1:12">
      <c r="A35" s="248">
        <v>41</v>
      </c>
      <c r="B35" s="217" t="s">
        <v>20</v>
      </c>
      <c r="C35" s="169">
        <f>ROUND(+IF('PART 2023'!$G$4&lt;1,'PISO 2021'!$J35*'PART 2023'!$E$4,'PISO 2021'!C35+Copete!C35),2)</f>
        <v>21578624.66</v>
      </c>
      <c r="D35" s="169">
        <f>ROUND(+IF('PART 2023'!$G$5&lt;1,'PISO 2021'!$J35*'PART 2023'!$E$5,'PISO 2021'!D35+Copete!D35),2)</f>
        <v>3169429.48</v>
      </c>
      <c r="E35" s="178">
        <f>ROUND(+'PART 2023'!E$11*'Art.14 Frac.III'!R34,2)</f>
        <v>2435139.88</v>
      </c>
      <c r="F35" s="169">
        <f>ROUND(+IF('PART 2023'!$G$6&lt;1,'PISO 2021'!$J35*'PART 2023'!$E$6,'PISO 2021'!E35+Copete!E35),2)</f>
        <v>686328.46</v>
      </c>
      <c r="G35" s="169">
        <f>ROUND(+IF('PART 2023'!$G$7&lt;1,'PISO 2021'!$J35*'PART 2023'!$E$7,'PISO 2021'!F35+Copete!F35),2)</f>
        <v>1189456.97</v>
      </c>
      <c r="H35" s="169">
        <f>ROUND(+IF('PART 2023'!$G$8&lt;1,'PISO 2021'!$J35*'PART 2023'!$E$8,'PISO 2021'!G35+Copete!G35),2)</f>
        <v>823337.36</v>
      </c>
      <c r="I35" s="169">
        <f>ROUND(+IF('PART 2023'!$G$9&lt;1,'PISO 2021'!$J35*'PART 2023'!$E$9,'PISO 2021'!H35+Copete!H35),2)</f>
        <v>115642.5</v>
      </c>
      <c r="J35" s="169">
        <f>+ROUND('COEF Art 14 F II'!M36,2)</f>
        <v>228898.34</v>
      </c>
      <c r="K35" s="169">
        <f>+'ISR BI'!E33</f>
        <v>4338.8999999999996</v>
      </c>
      <c r="L35" s="218">
        <f t="shared" si="0"/>
        <v>30231196.549999997</v>
      </c>
    </row>
    <row r="36" spans="1:12">
      <c r="A36" s="248">
        <v>42</v>
      </c>
      <c r="B36" s="217" t="s">
        <v>136</v>
      </c>
      <c r="C36" s="169">
        <f>ROUND(+IF('PART 2023'!$G$4&lt;1,'PISO 2021'!$J36*'PART 2023'!$E$4,'PISO 2021'!C36+Copete!C36),2)</f>
        <v>272582682.44999999</v>
      </c>
      <c r="D36" s="169">
        <f>ROUND(+IF('PART 2023'!$G$5&lt;1,'PISO 2021'!$J36*'PART 2023'!$E$5,'PISO 2021'!D36+Copete!D36),2)</f>
        <v>43648663.369999997</v>
      </c>
      <c r="E36" s="178">
        <f>ROUND(+'PART 2023'!E$11*'Art.14 Frac.III'!R35,2)</f>
        <v>7258785.5499999998</v>
      </c>
      <c r="F36" s="169">
        <f>ROUND(+IF('PART 2023'!$G$6&lt;1,'PISO 2021'!$J36*'PART 2023'!$E$6,'PISO 2021'!E36+Copete!E36),2)</f>
        <v>8047998.9100000001</v>
      </c>
      <c r="G36" s="169">
        <f>ROUND(+IF('PART 2023'!$G$7&lt;1,'PISO 2021'!$J36*'PART 2023'!$E$7,'PISO 2021'!F36+Copete!F36),2)</f>
        <v>14504713.439999999</v>
      </c>
      <c r="H36" s="169">
        <f>ROUND(+IF('PART 2023'!$G$8&lt;1,'PISO 2021'!$J36*'PART 2023'!$E$8,'PISO 2021'!G36+Copete!G36),2)</f>
        <v>14015562.109999999</v>
      </c>
      <c r="I36" s="169">
        <f>ROUND(+IF('PART 2023'!$G$9&lt;1,'PISO 2021'!$J36*'PART 2023'!$E$9,'PISO 2021'!H36+Copete!H36),2)</f>
        <v>1248015.1499999999</v>
      </c>
      <c r="J36" s="169">
        <f>+ROUND('COEF Art 14 F II'!M37,2)</f>
        <v>16716374.550000001</v>
      </c>
      <c r="K36" s="169">
        <f>+'ISR BI'!E34</f>
        <v>7893589.9800000004</v>
      </c>
      <c r="L36" s="218">
        <f t="shared" si="0"/>
        <v>385916385.51000005</v>
      </c>
    </row>
    <row r="37" spans="1:12">
      <c r="A37" s="248">
        <v>43</v>
      </c>
      <c r="B37" s="217" t="s">
        <v>21</v>
      </c>
      <c r="C37" s="169">
        <f>ROUND(+IF('PART 2023'!$G$4&lt;1,'PISO 2021'!$J37*'PART 2023'!$E$4,'PISO 2021'!C37+Copete!C37),2)</f>
        <v>41256163.369999997</v>
      </c>
      <c r="D37" s="169">
        <f>ROUND(+IF('PART 2023'!$G$5&lt;1,'PISO 2021'!$J37*'PART 2023'!$E$5,'PISO 2021'!D37+Copete!D37),2)</f>
        <v>6192984.46</v>
      </c>
      <c r="E37" s="178">
        <f>ROUND(+'PART 2023'!E$11*'Art.14 Frac.III'!R36,2)</f>
        <v>20626208.609999999</v>
      </c>
      <c r="F37" s="169">
        <f>ROUND(+IF('PART 2023'!$G$6&lt;1,'PISO 2021'!$J37*'PART 2023'!$E$6,'PISO 2021'!E37+Copete!E37),2)</f>
        <v>1289237.68</v>
      </c>
      <c r="G37" s="169">
        <f>ROUND(+IF('PART 2023'!$G$7&lt;1,'PISO 2021'!$J37*'PART 2023'!$E$7,'PISO 2021'!F37+Copete!F37),2)</f>
        <v>2254903.44</v>
      </c>
      <c r="H37" s="169">
        <f>ROUND(+IF('PART 2023'!$G$8&lt;1,'PISO 2021'!$J37*'PART 2023'!$E$8,'PISO 2021'!G37+Copete!G37),2)</f>
        <v>1707598.87</v>
      </c>
      <c r="I37" s="169">
        <f>ROUND(+IF('PART 2023'!$G$9&lt;1,'PISO 2021'!$J37*'PART 2023'!$E$9,'PISO 2021'!H37+Copete!H37),2)</f>
        <v>213241.23</v>
      </c>
      <c r="J37" s="169">
        <f>+ROUND('COEF Art 14 F II'!M38,2)</f>
        <v>466359.83</v>
      </c>
      <c r="K37" s="169">
        <f>+'ISR BI'!E35</f>
        <v>47185.04</v>
      </c>
      <c r="L37" s="218">
        <f t="shared" si="0"/>
        <v>74053882.530000016</v>
      </c>
    </row>
    <row r="38" spans="1:12">
      <c r="A38" s="248">
        <v>44</v>
      </c>
      <c r="B38" s="217" t="s">
        <v>22</v>
      </c>
      <c r="C38" s="169">
        <f>ROUND(+IF('PART 2023'!$G$4&lt;1,'PISO 2021'!$J38*'PART 2023'!$E$4,'PISO 2021'!C38+Copete!C38),2)</f>
        <v>141032263.25999999</v>
      </c>
      <c r="D38" s="169">
        <f>ROUND(+IF('PART 2023'!$G$5&lt;1,'PISO 2021'!$J38*'PART 2023'!$E$5,'PISO 2021'!D38+Copete!D38),2)</f>
        <v>20693557.420000002</v>
      </c>
      <c r="E38" s="178">
        <f>ROUND(+'PART 2023'!E$11*'Art.14 Frac.III'!R37,2)</f>
        <v>3882984.5</v>
      </c>
      <c r="F38" s="169">
        <f>ROUND(+IF('PART 2023'!$G$6&lt;1,'PISO 2021'!$J38*'PART 2023'!$E$6,'PISO 2021'!E38+Copete!E38),2)</f>
        <v>4489279.6500000004</v>
      </c>
      <c r="G38" s="169">
        <f>ROUND(+IF('PART 2023'!$G$7&lt;1,'PISO 2021'!$J38*'PART 2023'!$E$7,'PISO 2021'!F38+Copete!F38),2)</f>
        <v>7777008.0800000001</v>
      </c>
      <c r="H38" s="169">
        <f>ROUND(+IF('PART 2023'!$G$8&lt;1,'PISO 2021'!$J38*'PART 2023'!$E$8,'PISO 2021'!G38+Copete!G38),2)</f>
        <v>5360094.3</v>
      </c>
      <c r="I38" s="169">
        <f>ROUND(+IF('PART 2023'!$G$9&lt;1,'PISO 2021'!$J38*'PART 2023'!$E$9,'PISO 2021'!H38+Copete!H38),2)</f>
        <v>757046.74</v>
      </c>
      <c r="J38" s="169">
        <f>+ROUND('COEF Art 14 F II'!M39,2)</f>
        <v>3395703.11</v>
      </c>
      <c r="K38" s="169">
        <f>+'ISR BI'!E36</f>
        <v>1067238.03</v>
      </c>
      <c r="L38" s="218">
        <f t="shared" si="0"/>
        <v>188455175.09000006</v>
      </c>
    </row>
    <row r="39" spans="1:12">
      <c r="A39" s="248">
        <v>46</v>
      </c>
      <c r="B39" s="217" t="s">
        <v>137</v>
      </c>
      <c r="C39" s="169">
        <f>ROUND(+IF('PART 2023'!$G$4&lt;1,'PISO 2021'!$J39*'PART 2023'!$E$4,'PISO 2021'!C39+Copete!C39),2)</f>
        <v>29747910.32</v>
      </c>
      <c r="D39" s="169">
        <f>ROUND(+IF('PART 2023'!$G$5&lt;1,'PISO 2021'!$J39*'PART 2023'!$E$5,'PISO 2021'!D39+Copete!D39),2)</f>
        <v>4347708.4000000004</v>
      </c>
      <c r="E39" s="178">
        <f>ROUND(+'PART 2023'!E$11*'Art.14 Frac.III'!R38,2)</f>
        <v>16283639.16</v>
      </c>
      <c r="F39" s="169">
        <f>ROUND(+IF('PART 2023'!$G$6&lt;1,'PISO 2021'!$J39*'PART 2023'!$E$6,'PISO 2021'!E39+Copete!E39),2)</f>
        <v>949880.06</v>
      </c>
      <c r="G39" s="169">
        <f>ROUND(+IF('PART 2023'!$G$7&lt;1,'PISO 2021'!$J39*'PART 2023'!$E$7,'PISO 2021'!F39+Copete!F39),2)</f>
        <v>1642878.91</v>
      </c>
      <c r="H39" s="169">
        <f>ROUND(+IF('PART 2023'!$G$8&lt;1,'PISO 2021'!$J39*'PART 2023'!$E$8,'PISO 2021'!G39+Copete!G39),2)</f>
        <v>1113409.96</v>
      </c>
      <c r="I39" s="169">
        <f>ROUND(+IF('PART 2023'!$G$9&lt;1,'PISO 2021'!$J39*'PART 2023'!$E$9,'PISO 2021'!H39+Copete!H39),2)</f>
        <v>160695.78</v>
      </c>
      <c r="J39" s="169">
        <f>+ROUND('COEF Art 14 F II'!M40,2)</f>
        <v>322951.77</v>
      </c>
      <c r="K39" s="169">
        <f>+'ISR BI'!E37</f>
        <v>1085554.22</v>
      </c>
      <c r="L39" s="218">
        <f t="shared" si="0"/>
        <v>55654628.579999998</v>
      </c>
    </row>
    <row r="40" spans="1:12">
      <c r="A40" s="248">
        <v>49</v>
      </c>
      <c r="B40" s="217" t="s">
        <v>23</v>
      </c>
      <c r="C40" s="169">
        <f>ROUND(+IF('PART 2023'!$G$4&lt;1,'PISO 2021'!$J40*'PART 2023'!$E$4,'PISO 2021'!C40+Copete!C40),2)</f>
        <v>24852943.780000001</v>
      </c>
      <c r="D40" s="169">
        <f>ROUND(+IF('PART 2023'!$G$5&lt;1,'PISO 2021'!$J40*'PART 2023'!$E$5,'PISO 2021'!D40+Copete!D40),2)</f>
        <v>3443106.11</v>
      </c>
      <c r="E40" s="178">
        <f>ROUND(+'PART 2023'!E$11*'Art.14 Frac.III'!R39,2)</f>
        <v>6834843.79</v>
      </c>
      <c r="F40" s="169">
        <f>ROUND(+IF('PART 2023'!$G$6&lt;1,'PISO 2021'!$J40*'PART 2023'!$E$6,'PISO 2021'!E40+Copete!E40),2)</f>
        <v>826143.96</v>
      </c>
      <c r="G40" s="169">
        <f>ROUND(+IF('PART 2023'!$G$7&lt;1,'PISO 2021'!$J40*'PART 2023'!$E$7,'PISO 2021'!F40+Copete!F40),2)</f>
        <v>1399812.65</v>
      </c>
      <c r="H40" s="169">
        <f>ROUND(+IF('PART 2023'!$G$8&lt;1,'PISO 2021'!$J40*'PART 2023'!$E$8,'PISO 2021'!G40+Copete!G40),2)</f>
        <v>740854.07</v>
      </c>
      <c r="I40" s="169">
        <f>ROUND(+IF('PART 2023'!$G$9&lt;1,'PISO 2021'!$J40*'PART 2023'!$E$9,'PISO 2021'!H40+Copete!H40),2)</f>
        <v>145398.69</v>
      </c>
      <c r="J40" s="169">
        <f>+ROUND('COEF Art 14 F II'!M41,2)</f>
        <v>64854.080000000002</v>
      </c>
      <c r="K40" s="169">
        <f>+'ISR BI'!E38</f>
        <v>13003.98</v>
      </c>
      <c r="L40" s="218">
        <f t="shared" si="0"/>
        <v>38320961.109999992</v>
      </c>
    </row>
    <row r="41" spans="1:12">
      <c r="A41" s="248">
        <v>48</v>
      </c>
      <c r="B41" s="217" t="s">
        <v>24</v>
      </c>
      <c r="C41" s="169">
        <f>ROUND(+IF('PART 2023'!$G$4&lt;1,'PISO 2021'!$J41*'PART 2023'!$E$4,'PISO 2021'!C41+Copete!C41),2)</f>
        <v>32267053.039999999</v>
      </c>
      <c r="D41" s="169">
        <f>ROUND(+IF('PART 2023'!$G$5&lt;1,'PISO 2021'!$J41*'PART 2023'!$E$5,'PISO 2021'!D41+Copete!D41),2)</f>
        <v>4791603.32</v>
      </c>
      <c r="E41" s="178">
        <f>ROUND(+'PART 2023'!E$11*'Art.14 Frac.III'!R40,2)</f>
        <v>1379623.97</v>
      </c>
      <c r="F41" s="169">
        <f>ROUND(+IF('PART 2023'!$G$6&lt;1,'PISO 2021'!$J41*'PART 2023'!$E$6,'PISO 2021'!E41+Copete!E41),2)</f>
        <v>1017285.87</v>
      </c>
      <c r="G41" s="169">
        <f>ROUND(+IF('PART 2023'!$G$7&lt;1,'PISO 2021'!$J41*'PART 2023'!$E$7,'PISO 2021'!F41+Copete!F41),2)</f>
        <v>1771090.44</v>
      </c>
      <c r="H41" s="169">
        <f>ROUND(+IF('PART 2023'!$G$8&lt;1,'PISO 2021'!$J41*'PART 2023'!$E$8,'PISO 2021'!G41+Copete!G41),2)</f>
        <v>1283475.46</v>
      </c>
      <c r="I41" s="169">
        <f>ROUND(+IF('PART 2023'!$G$9&lt;1,'PISO 2021'!$J41*'PART 2023'!$E$9,'PISO 2021'!H41+Copete!H41),2)</f>
        <v>169843.57</v>
      </c>
      <c r="J41" s="169">
        <f>+ROUND('COEF Art 14 F II'!M42,2)</f>
        <v>435478.62</v>
      </c>
      <c r="K41" s="169">
        <f>+'ISR BI'!E39</f>
        <v>404.79</v>
      </c>
      <c r="L41" s="218">
        <f t="shared" si="0"/>
        <v>43115859.079999991</v>
      </c>
    </row>
    <row r="42" spans="1:12">
      <c r="A42" s="248">
        <v>47</v>
      </c>
      <c r="B42" s="217" t="s">
        <v>25</v>
      </c>
      <c r="C42" s="169">
        <f>ROUND(+IF('PART 2023'!$G$4&lt;1,'PISO 2021'!$J42*'PART 2023'!$E$4,'PISO 2021'!C42+Copete!C42),2)</f>
        <v>43849864.840000004</v>
      </c>
      <c r="D42" s="169">
        <f>ROUND(+IF('PART 2023'!$G$5&lt;1,'PISO 2021'!$J42*'PART 2023'!$E$5,'PISO 2021'!D42+Copete!D42),2)</f>
        <v>6487680.5</v>
      </c>
      <c r="E42" s="178">
        <f>ROUND(+'PART 2023'!E$11*'Art.14 Frac.III'!R41,2)</f>
        <v>1965424.85</v>
      </c>
      <c r="F42" s="169">
        <f>ROUND(+IF('PART 2023'!$G$6&lt;1,'PISO 2021'!$J42*'PART 2023'!$E$6,'PISO 2021'!E42+Copete!E42),2)</f>
        <v>1386580.62</v>
      </c>
      <c r="G42" s="169">
        <f>ROUND(+IF('PART 2023'!$G$7&lt;1,'PISO 2021'!$J42*'PART 2023'!$E$7,'PISO 2021'!F42+Copete!F42),2)</f>
        <v>2410305.5099999998</v>
      </c>
      <c r="H42" s="169">
        <f>ROUND(+IF('PART 2023'!$G$8&lt;1,'PISO 2021'!$J42*'PART 2023'!$E$8,'PISO 2021'!G42+Copete!G42),2)</f>
        <v>1720230.81</v>
      </c>
      <c r="I42" s="169">
        <f>ROUND(+IF('PART 2023'!$G$9&lt;1,'PISO 2021'!$J42*'PART 2023'!$E$9,'PISO 2021'!H42+Copete!H42),2)</f>
        <v>232222.75</v>
      </c>
      <c r="J42" s="169">
        <f>+ROUND('COEF Art 14 F II'!M43,2)</f>
        <v>445767.82</v>
      </c>
      <c r="K42" s="169">
        <f>+'ISR BI'!E40</f>
        <v>23578.62</v>
      </c>
      <c r="L42" s="218">
        <f t="shared" si="0"/>
        <v>58521656.32</v>
      </c>
    </row>
    <row r="43" spans="1:12">
      <c r="A43" s="248">
        <v>45</v>
      </c>
      <c r="B43" s="217" t="s">
        <v>26</v>
      </c>
      <c r="C43" s="169">
        <f>ROUND(+IF('PART 2023'!$G$4&lt;1,'PISO 2021'!$J43*'PART 2023'!$E$4,'PISO 2021'!C43+Copete!C43),2)</f>
        <v>101123602.41</v>
      </c>
      <c r="D43" s="169">
        <f>ROUND(+IF('PART 2023'!$G$5&lt;1,'PISO 2021'!$J43*'PART 2023'!$E$5,'PISO 2021'!D43+Copete!D43),2)</f>
        <v>14875986.57</v>
      </c>
      <c r="E43" s="178">
        <f>ROUND(+'PART 2023'!E$11*'Art.14 Frac.III'!R42,2)</f>
        <v>4606917.84</v>
      </c>
      <c r="F43" s="169">
        <f>ROUND(+IF('PART 2023'!$G$6&lt;1,'PISO 2021'!$J43*'PART 2023'!$E$6,'PISO 2021'!E43+Copete!E43),2)</f>
        <v>3212349.35</v>
      </c>
      <c r="G43" s="169">
        <f>ROUND(+IF('PART 2023'!$G$7&lt;1,'PISO 2021'!$J43*'PART 2023'!$E$7,'PISO 2021'!F43+Copete!F43),2)</f>
        <v>5570801.2300000004</v>
      </c>
      <c r="H43" s="169">
        <f>ROUND(+IF('PART 2023'!$G$8&lt;1,'PISO 2021'!$J43*'PART 2023'!$E$8,'PISO 2021'!G43+Copete!G43),2)</f>
        <v>3881546.91</v>
      </c>
      <c r="I43" s="169">
        <f>ROUND(+IF('PART 2023'!$G$9&lt;1,'PISO 2021'!$J43*'PART 2023'!$E$9,'PISO 2021'!H43+Copete!H43),2)</f>
        <v>540571.03</v>
      </c>
      <c r="J43" s="169">
        <f>+ROUND('COEF Art 14 F II'!M44,2)</f>
        <v>2620194.31</v>
      </c>
      <c r="K43" s="169">
        <f>+'ISR BI'!E41</f>
        <v>3737732.88</v>
      </c>
      <c r="L43" s="218">
        <f t="shared" si="0"/>
        <v>140169702.52999997</v>
      </c>
    </row>
    <row r="44" spans="1:12">
      <c r="A44" s="248">
        <v>70</v>
      </c>
      <c r="B44" s="217" t="s">
        <v>27</v>
      </c>
      <c r="C44" s="169">
        <f>ROUND(+IF('PART 2023'!$G$4&lt;1,'PISO 2021'!$J44*'PART 2023'!$E$4,'PISO 2021'!C44+Copete!C44),2)</f>
        <v>2330957701.9400001</v>
      </c>
      <c r="D44" s="169">
        <f>ROUND(+IF('PART 2023'!$G$5&lt;1,'PISO 2021'!$J44*'PART 2023'!$E$5,'PISO 2021'!D44+Copete!D44),2)</f>
        <v>354718801.63</v>
      </c>
      <c r="E44" s="178">
        <f>ROUND(+'PART 2023'!E$11*'Art.14 Frac.III'!R43,2)</f>
        <v>0</v>
      </c>
      <c r="F44" s="169">
        <f>ROUND(+IF('PART 2023'!$G$6&lt;1,'PISO 2021'!$J44*'PART 2023'!$E$6,'PISO 2021'!E44+Copete!E44),2)</f>
        <v>72012232.150000006</v>
      </c>
      <c r="G44" s="169">
        <f>ROUND(+IF('PART 2023'!$G$7&lt;1,'PISO 2021'!$J44*'PART 2023'!$E$7,'PISO 2021'!F44+Copete!F44),2)</f>
        <v>126706899.41</v>
      </c>
      <c r="H44" s="169">
        <f>ROUND(+IF('PART 2023'!$G$8&lt;1,'PISO 2021'!$J44*'PART 2023'!$E$8,'PISO 2021'!G44+Copete!G44),2)</f>
        <v>101300067.90000001</v>
      </c>
      <c r="I44" s="169">
        <f>ROUND(+IF('PART 2023'!$G$9&lt;1,'PISO 2021'!$J44*'PART 2023'!$E$9,'PISO 2021'!H44+Copete!H44),2)</f>
        <v>11764258.119999999</v>
      </c>
      <c r="J44" s="169">
        <f>+ROUND('COEF Art 14 F II'!M45,2)</f>
        <v>53746633.939999998</v>
      </c>
      <c r="K44" s="169">
        <f>+'ISR BI'!E42</f>
        <v>78786987.980000004</v>
      </c>
      <c r="L44" s="218">
        <f t="shared" si="0"/>
        <v>3129993583.0700002</v>
      </c>
    </row>
    <row r="45" spans="1:12">
      <c r="A45" s="248">
        <v>50</v>
      </c>
      <c r="B45" s="217" t="s">
        <v>138</v>
      </c>
      <c r="C45" s="169">
        <f>ROUND(+IF('PART 2023'!$G$4&lt;1,'PISO 2021'!$J45*'PART 2023'!$E$4,'PISO 2021'!C45+Copete!C45),2)</f>
        <v>13360799.710000001</v>
      </c>
      <c r="D45" s="169">
        <f>ROUND(+IF('PART 2023'!$G$5&lt;1,'PISO 2021'!$J45*'PART 2023'!$E$5,'PISO 2021'!D45+Copete!D45),2)</f>
        <v>2076836.69</v>
      </c>
      <c r="E45" s="178">
        <f>ROUND(+'PART 2023'!E$11*'Art.14 Frac.III'!R44,2)</f>
        <v>4709874.7300000004</v>
      </c>
      <c r="F45" s="169">
        <f>ROUND(+IF('PART 2023'!$G$6&lt;1,'PISO 2021'!$J45*'PART 2023'!$E$6,'PISO 2021'!E45+Copete!E45),2)</f>
        <v>405257.2</v>
      </c>
      <c r="G45" s="169">
        <f>ROUND(+IF('PART 2023'!$G$7&lt;1,'PISO 2021'!$J45*'PART 2023'!$E$7,'PISO 2021'!F45+Copete!F45),2)</f>
        <v>719982.94</v>
      </c>
      <c r="H45" s="169">
        <f>ROUND(+IF('PART 2023'!$G$8&lt;1,'PISO 2021'!$J45*'PART 2023'!$E$8,'PISO 2021'!G45+Copete!G45),2)</f>
        <v>624302.66</v>
      </c>
      <c r="I45" s="169">
        <f>ROUND(+IF('PART 2023'!$G$9&lt;1,'PISO 2021'!$J45*'PART 2023'!$E$9,'PISO 2021'!H45+Copete!H45),2)</f>
        <v>64861.5</v>
      </c>
      <c r="J45" s="169">
        <f>+ROUND('COEF Art 14 F II'!M46,2)</f>
        <v>164195.34</v>
      </c>
      <c r="K45" s="169">
        <f>+'ISR BI'!E43</f>
        <v>32747.57</v>
      </c>
      <c r="L45" s="218">
        <f t="shared" si="0"/>
        <v>22158858.340000004</v>
      </c>
    </row>
    <row r="46" spans="1:12">
      <c r="A46" s="248">
        <v>51</v>
      </c>
      <c r="B46" s="217" t="s">
        <v>139</v>
      </c>
      <c r="C46" s="169">
        <f>ROUND(+IF('PART 2023'!$G$4&lt;1,'PISO 2021'!$J46*'PART 2023'!$E$4,'PISO 2021'!C46+Copete!C46),2)</f>
        <v>68869604.900000006</v>
      </c>
      <c r="D46" s="169">
        <f>ROUND(+IF('PART 2023'!$G$5&lt;1,'PISO 2021'!$J46*'PART 2023'!$E$5,'PISO 2021'!D46+Copete!D46),2)</f>
        <v>11246949.220000001</v>
      </c>
      <c r="E46" s="178">
        <f>ROUND(+'PART 2023'!E$11*'Art.14 Frac.III'!R45,2)</f>
        <v>5283888.0999999996</v>
      </c>
      <c r="F46" s="169">
        <f>ROUND(+IF('PART 2023'!$G$6&lt;1,'PISO 2021'!$J46*'PART 2023'!$E$6,'PISO 2021'!E46+Copete!E46),2)</f>
        <v>1995702.75</v>
      </c>
      <c r="G46" s="169">
        <f>ROUND(+IF('PART 2023'!$G$7&lt;1,'PISO 2021'!$J46*'PART 2023'!$E$7,'PISO 2021'!F46+Copete!F46),2)</f>
        <v>3633158.53</v>
      </c>
      <c r="H46" s="169">
        <f>ROUND(+IF('PART 2023'!$G$8&lt;1,'PISO 2021'!$J46*'PART 2023'!$E$8,'PISO 2021'!G46+Copete!G46),2)</f>
        <v>3760148.85</v>
      </c>
      <c r="I46" s="169">
        <f>ROUND(+IF('PART 2023'!$G$9&lt;1,'PISO 2021'!$J46*'PART 2023'!$E$9,'PISO 2021'!H46+Copete!H46),2)</f>
        <v>302425.65999999997</v>
      </c>
      <c r="J46" s="169">
        <f>+ROUND('COEF Art 14 F II'!M47,2)</f>
        <v>4977701.95</v>
      </c>
      <c r="K46" s="169">
        <f>+'ISR BI'!E44</f>
        <v>6373621.9800000004</v>
      </c>
      <c r="L46" s="218">
        <f t="shared" si="0"/>
        <v>106443201.94</v>
      </c>
    </row>
    <row r="47" spans="1:12">
      <c r="A47" s="248">
        <v>52</v>
      </c>
      <c r="B47" s="217" t="s">
        <v>140</v>
      </c>
      <c r="C47" s="169">
        <f>ROUND(+IF('PART 2023'!$G$4&lt;1,'PISO 2021'!$J47*'PART 2023'!$E$4,'PISO 2021'!C47+Copete!C47),2)</f>
        <v>23651962.370000001</v>
      </c>
      <c r="D47" s="169">
        <f>ROUND(+IF('PART 2023'!$G$5&lt;1,'PISO 2021'!$J47*'PART 2023'!$E$5,'PISO 2021'!D47+Copete!D47),2)</f>
        <v>3515481.36</v>
      </c>
      <c r="E47" s="178">
        <f>ROUND(+'PART 2023'!E$11*'Art.14 Frac.III'!R46,2)</f>
        <v>6938038.3200000003</v>
      </c>
      <c r="F47" s="169">
        <f>ROUND(+IF('PART 2023'!$G$6&lt;1,'PISO 2021'!$J47*'PART 2023'!$E$6,'PISO 2021'!E47+Copete!E47),2)</f>
        <v>745125.66</v>
      </c>
      <c r="G47" s="169">
        <f>ROUND(+IF('PART 2023'!$G$7&lt;1,'PISO 2021'!$J47*'PART 2023'!$E$7,'PISO 2021'!F47+Copete!F47),2)</f>
        <v>1297759.1100000001</v>
      </c>
      <c r="H47" s="169">
        <f>ROUND(+IF('PART 2023'!$G$8&lt;1,'PISO 2021'!$J47*'PART 2023'!$E$8,'PISO 2021'!G47+Copete!G47),2)</f>
        <v>944003.11</v>
      </c>
      <c r="I47" s="169">
        <f>ROUND(+IF('PART 2023'!$G$9&lt;1,'PISO 2021'!$J47*'PART 2023'!$E$9,'PISO 2021'!H47+Copete!H47),2)</f>
        <v>124307.68</v>
      </c>
      <c r="J47" s="169">
        <f>+ROUND('COEF Art 14 F II'!M48,2)</f>
        <v>311698.13</v>
      </c>
      <c r="K47" s="169">
        <f>+'ISR BI'!E45</f>
        <v>104948.93</v>
      </c>
      <c r="L47" s="218">
        <f t="shared" si="0"/>
        <v>37633324.669999994</v>
      </c>
    </row>
    <row r="48" spans="1:12">
      <c r="A48" s="248">
        <v>53</v>
      </c>
      <c r="B48" s="217" t="s">
        <v>28</v>
      </c>
      <c r="C48" s="169">
        <f>ROUND(+IF('PART 2023'!$G$4&lt;1,'PISO 2021'!$J48*'PART 2023'!$E$4,'PISO 2021'!C48+Copete!C48),2)</f>
        <v>25507477.489999998</v>
      </c>
      <c r="D48" s="169">
        <f>ROUND(+IF('PART 2023'!$G$5&lt;1,'PISO 2021'!$J48*'PART 2023'!$E$5,'PISO 2021'!D48+Copete!D48),2)</f>
        <v>3743358.14</v>
      </c>
      <c r="E48" s="178">
        <f>ROUND(+'PART 2023'!E$11*'Art.14 Frac.III'!R47,2)</f>
        <v>2853737.34</v>
      </c>
      <c r="F48" s="169">
        <f>ROUND(+IF('PART 2023'!$G$6&lt;1,'PISO 2021'!$J48*'PART 2023'!$E$6,'PISO 2021'!E48+Copete!E48),2)</f>
        <v>811828.78</v>
      </c>
      <c r="G48" s="169">
        <f>ROUND(+IF('PART 2023'!$G$7&lt;1,'PISO 2021'!$J48*'PART 2023'!$E$7,'PISO 2021'!F48+Copete!F48),2)</f>
        <v>1406474.89</v>
      </c>
      <c r="H48" s="169">
        <f>ROUND(+IF('PART 2023'!$G$8&lt;1,'PISO 2021'!$J48*'PART 2023'!$E$8,'PISO 2021'!G48+Copete!G48),2)</f>
        <v>970106.96</v>
      </c>
      <c r="I48" s="169">
        <f>ROUND(+IF('PART 2023'!$G$9&lt;1,'PISO 2021'!$J48*'PART 2023'!$E$9,'PISO 2021'!H48+Copete!H48),2)</f>
        <v>136882.32999999999</v>
      </c>
      <c r="J48" s="169">
        <f>+ROUND('COEF Art 14 F II'!M49,2)</f>
        <v>220000.45</v>
      </c>
      <c r="K48" s="169">
        <f>+'ISR BI'!E46</f>
        <v>7179.41</v>
      </c>
      <c r="L48" s="218">
        <f t="shared" si="0"/>
        <v>35657045.789999999</v>
      </c>
    </row>
    <row r="49" spans="1:12">
      <c r="A49" s="248">
        <v>54</v>
      </c>
      <c r="B49" s="217" t="s">
        <v>29</v>
      </c>
      <c r="C49" s="169">
        <f>ROUND(+IF('PART 2023'!$G$4&lt;1,'PISO 2021'!$J49*'PART 2023'!$E$4,'PISO 2021'!C49+Copete!C49),2)</f>
        <v>71937873.329999998</v>
      </c>
      <c r="D49" s="169">
        <f>ROUND(+IF('PART 2023'!$G$5&lt;1,'PISO 2021'!$J49*'PART 2023'!$E$5,'PISO 2021'!D49+Copete!D49),2)</f>
        <v>10484750.039999999</v>
      </c>
      <c r="E49" s="178">
        <f>ROUND(+'PART 2023'!E$11*'Art.14 Frac.III'!R48,2)</f>
        <v>5594851.3799999999</v>
      </c>
      <c r="F49" s="169">
        <f>ROUND(+IF('PART 2023'!$G$6&lt;1,'PISO 2021'!$J49*'PART 2023'!$E$6,'PISO 2021'!E49+Copete!E49),2)</f>
        <v>2302054.94</v>
      </c>
      <c r="G49" s="169">
        <f>ROUND(+IF('PART 2023'!$G$7&lt;1,'PISO 2021'!$J49*'PART 2023'!$E$7,'PISO 2021'!F49+Copete!F49),2)</f>
        <v>3977084.36</v>
      </c>
      <c r="H49" s="169">
        <f>ROUND(+IF('PART 2023'!$G$8&lt;1,'PISO 2021'!$J49*'PART 2023'!$E$8,'PISO 2021'!G49+Copete!G49),2)</f>
        <v>2663385.67</v>
      </c>
      <c r="I49" s="169">
        <f>ROUND(+IF('PART 2023'!$G$9&lt;1,'PISO 2021'!$J49*'PART 2023'!$E$9,'PISO 2021'!H49+Copete!H49),2)</f>
        <v>390316.4</v>
      </c>
      <c r="J49" s="169">
        <f>+ROUND('COEF Art 14 F II'!M50,2)</f>
        <v>1472034.06</v>
      </c>
      <c r="K49" s="169">
        <f>+'ISR BI'!E47</f>
        <v>314205.14</v>
      </c>
      <c r="L49" s="218">
        <f t="shared" si="0"/>
        <v>99136555.320000008</v>
      </c>
    </row>
    <row r="50" spans="1:12">
      <c r="A50" s="248">
        <v>55</v>
      </c>
      <c r="B50" s="217" t="s">
        <v>30</v>
      </c>
      <c r="C50" s="169">
        <f>ROUND(+IF('PART 2023'!$G$4&lt;1,'PISO 2021'!$J50*'PART 2023'!$E$4,'PISO 2021'!C50+Copete!C50),2)</f>
        <v>78358718.609999999</v>
      </c>
      <c r="D50" s="169">
        <f>ROUND(+IF('PART 2023'!$G$5&lt;1,'PISO 2021'!$J50*'PART 2023'!$E$5,'PISO 2021'!D50+Copete!D50),2)</f>
        <v>12239870.35</v>
      </c>
      <c r="E50" s="178">
        <f>ROUND(+'PART 2023'!E$11*'Art.14 Frac.III'!R49,2)</f>
        <v>10631287.93</v>
      </c>
      <c r="F50" s="169">
        <f>ROUND(+IF('PART 2023'!$G$6&lt;1,'PISO 2021'!$J50*'PART 2023'!$E$6,'PISO 2021'!E50+Copete!E50),2)</f>
        <v>2366504.34</v>
      </c>
      <c r="G50" s="169">
        <f>ROUND(+IF('PART 2023'!$G$7&lt;1,'PISO 2021'!$J50*'PART 2023'!$E$7,'PISO 2021'!F50+Copete!F50),2)</f>
        <v>4213983.8</v>
      </c>
      <c r="H50" s="169">
        <f>ROUND(+IF('PART 2023'!$G$8&lt;1,'PISO 2021'!$J50*'PART 2023'!$E$8,'PISO 2021'!G50+Copete!G50),2)</f>
        <v>3721063.9</v>
      </c>
      <c r="I50" s="169">
        <f>ROUND(+IF('PART 2023'!$G$9&lt;1,'PISO 2021'!$J50*'PART 2023'!$E$9,'PISO 2021'!H50+Copete!H50),2)</f>
        <v>376890.76</v>
      </c>
      <c r="J50" s="169">
        <f>+ROUND('COEF Art 14 F II'!M51,2)</f>
        <v>3085753.98</v>
      </c>
      <c r="K50" s="169">
        <f>+'ISR BI'!E48</f>
        <v>6780682.75</v>
      </c>
      <c r="L50" s="218">
        <f t="shared" si="0"/>
        <v>121774756.42</v>
      </c>
    </row>
    <row r="51" spans="1:12">
      <c r="A51" s="248">
        <v>58</v>
      </c>
      <c r="B51" s="217" t="s">
        <v>141</v>
      </c>
      <c r="C51" s="169">
        <f>ROUND(+IF('PART 2023'!$G$4&lt;1,'PISO 2021'!$J51*'PART 2023'!$E$4,'PISO 2021'!C51+Copete!C51),2)</f>
        <v>615739375.74000001</v>
      </c>
      <c r="D51" s="169">
        <f>ROUND(+IF('PART 2023'!$G$5&lt;1,'PISO 2021'!$J51*'PART 2023'!$E$5,'PISO 2021'!D51+Copete!D51),2)</f>
        <v>92575647.170000002</v>
      </c>
      <c r="E51" s="178">
        <f>ROUND(+'PART 2023'!E$11*'Art.14 Frac.III'!R50,2)</f>
        <v>17772215.780000001</v>
      </c>
      <c r="F51" s="169">
        <f>ROUND(+IF('PART 2023'!$G$6&lt;1,'PISO 2021'!$J51*'PART 2023'!$E$6,'PISO 2021'!E51+Copete!E51),2)</f>
        <v>19216347.399999999</v>
      </c>
      <c r="G51" s="169">
        <f>ROUND(+IF('PART 2023'!$G$7&lt;1,'PISO 2021'!$J51*'PART 2023'!$E$7,'PISO 2021'!F51+Copete!F51),2)</f>
        <v>33632809.450000003</v>
      </c>
      <c r="H51" s="169">
        <f>ROUND(+IF('PART 2023'!$G$8&lt;1,'PISO 2021'!$J51*'PART 2023'!$E$8,'PISO 2021'!G51+Copete!G51),2)</f>
        <v>25632348.460000001</v>
      </c>
      <c r="I51" s="169">
        <f>ROUND(+IF('PART 2023'!$G$9&lt;1,'PISO 2021'!$J51*'PART 2023'!$E$9,'PISO 2021'!H51+Copete!H51),2)</f>
        <v>3173938.61</v>
      </c>
      <c r="J51" s="169">
        <f>+ROUND('COEF Art 14 F II'!M52,2)</f>
        <v>17888083.280000001</v>
      </c>
      <c r="K51" s="169">
        <f>+'ISR BI'!E49</f>
        <v>11635811.24</v>
      </c>
      <c r="L51" s="218">
        <f t="shared" si="0"/>
        <v>837266577.13</v>
      </c>
    </row>
    <row r="52" spans="1:12">
      <c r="A52" s="248">
        <v>31</v>
      </c>
      <c r="B52" s="217" t="s">
        <v>142</v>
      </c>
      <c r="C52" s="169">
        <f>ROUND(+IF('PART 2023'!$G$4&lt;1,'PISO 2021'!$J52*'PART 2023'!$E$4,'PISO 2021'!C52+Copete!C52),2)</f>
        <v>1221601087.6700001</v>
      </c>
      <c r="D52" s="169">
        <f>ROUND(+IF('PART 2023'!$G$5&lt;1,'PISO 2021'!$J52*'PART 2023'!$E$5,'PISO 2021'!D52+Copete!D52),2)</f>
        <v>185142684.90000001</v>
      </c>
      <c r="E52" s="178">
        <f>ROUND(+'PART 2023'!E$11*'Art.14 Frac.III'!R51,2)</f>
        <v>35476883.409999996</v>
      </c>
      <c r="F52" s="169">
        <f>ROUND(+IF('PART 2023'!$G$6&lt;1,'PISO 2021'!$J52*'PART 2023'!$E$6,'PISO 2021'!E52+Copete!E52),2)</f>
        <v>37870287.840000004</v>
      </c>
      <c r="G52" s="169">
        <f>ROUND(+IF('PART 2023'!$G$7&lt;1,'PISO 2021'!$J52*'PART 2023'!$E$7,'PISO 2021'!F52+Copete!F52),2)</f>
        <v>66513292.799999997</v>
      </c>
      <c r="H52" s="169">
        <f>ROUND(+IF('PART 2023'!$G$8&lt;1,'PISO 2021'!$J52*'PART 2023'!$E$8,'PISO 2021'!G52+Copete!G52),2)</f>
        <v>52331173.079999998</v>
      </c>
      <c r="I52" s="169">
        <f>ROUND(+IF('PART 2023'!$G$9&lt;1,'PISO 2021'!$J52*'PART 2023'!$E$9,'PISO 2021'!H52+Copete!H52),2)</f>
        <v>6209983.9199999999</v>
      </c>
      <c r="J52" s="169">
        <f>+ROUND('COEF Art 14 F II'!M53,2)</f>
        <v>13824266.17</v>
      </c>
      <c r="K52" s="169">
        <f>+'ISR BI'!E50</f>
        <v>49184615.539999999</v>
      </c>
      <c r="L52" s="218">
        <f t="shared" si="0"/>
        <v>1668154275.3300002</v>
      </c>
    </row>
    <row r="53" spans="1:12">
      <c r="A53" s="248">
        <v>57</v>
      </c>
      <c r="B53" s="217" t="s">
        <v>31</v>
      </c>
      <c r="C53" s="169">
        <f>ROUND(+IF('PART 2023'!$G$4&lt;1,'PISO 2021'!$J53*'PART 2023'!$E$4,'PISO 2021'!C53+Copete!C53),2)</f>
        <v>356679440.42000002</v>
      </c>
      <c r="D53" s="169">
        <f>ROUND(+IF('PART 2023'!$G$5&lt;1,'PISO 2021'!$J53*'PART 2023'!$E$5,'PISO 2021'!D53+Copete!D53),2)</f>
        <v>55299615.509999998</v>
      </c>
      <c r="E53" s="178">
        <f>ROUND(+'PART 2023'!E$11*'Art.14 Frac.III'!R52,2)</f>
        <v>19247844.870000001</v>
      </c>
      <c r="F53" s="169">
        <f>ROUND(+IF('PART 2023'!$G$6&lt;1,'PISO 2021'!$J53*'PART 2023'!$E$6,'PISO 2021'!E53+Copete!E53),2)</f>
        <v>10843439.48</v>
      </c>
      <c r="G53" s="169">
        <f>ROUND(+IF('PART 2023'!$G$7&lt;1,'PISO 2021'!$J53*'PART 2023'!$E$7,'PISO 2021'!F53+Copete!F53),2)</f>
        <v>19241326.710000001</v>
      </c>
      <c r="H53" s="169">
        <f>ROUND(+IF('PART 2023'!$G$8&lt;1,'PISO 2021'!$J53*'PART 2023'!$E$8,'PISO 2021'!G53+Copete!G53),2)</f>
        <v>16522702.869999999</v>
      </c>
      <c r="I53" s="169">
        <f>ROUND(+IF('PART 2023'!$G$9&lt;1,'PISO 2021'!$J53*'PART 2023'!$E$9,'PISO 2021'!H53+Copete!H53),2)</f>
        <v>1739996.35</v>
      </c>
      <c r="J53" s="169">
        <f>+ROUND('COEF Art 14 F II'!M54,2)</f>
        <v>13035516.9</v>
      </c>
      <c r="K53" s="169">
        <f>+'ISR BI'!E51</f>
        <v>19295554.010000002</v>
      </c>
      <c r="L53" s="218">
        <f t="shared" si="0"/>
        <v>511905437.12</v>
      </c>
    </row>
    <row r="54" spans="1:12">
      <c r="A54" s="248">
        <v>56</v>
      </c>
      <c r="B54" s="217" t="s">
        <v>32</v>
      </c>
      <c r="C54" s="169">
        <f>ROUND(+IF('PART 2023'!$G$4&lt;1,'PISO 2021'!$J54*'PART 2023'!$E$4,'PISO 2021'!C54+Copete!C54),2)</f>
        <v>115270010.98999999</v>
      </c>
      <c r="D54" s="169">
        <f>ROUND(+IF('PART 2023'!$G$5&lt;1,'PISO 2021'!$J54*'PART 2023'!$E$5,'PISO 2021'!D54+Copete!D54),2)</f>
        <v>17866905.09</v>
      </c>
      <c r="E54" s="178">
        <f>ROUND(+'PART 2023'!E$11*'Art.14 Frac.III'!R53,2)</f>
        <v>10473136.02</v>
      </c>
      <c r="F54" s="169">
        <f>ROUND(+IF('PART 2023'!$G$6&lt;1,'PISO 2021'!$J54*'PART 2023'!$E$6,'PISO 2021'!E54+Copete!E54),2)</f>
        <v>3505118.98</v>
      </c>
      <c r="G54" s="169">
        <f>ROUND(+IF('PART 2023'!$G$7&lt;1,'PISO 2021'!$J54*'PART 2023'!$E$7,'PISO 2021'!F54+Copete!F54),2)</f>
        <v>6218981.3700000001</v>
      </c>
      <c r="H54" s="169">
        <f>ROUND(+IF('PART 2023'!$G$8&lt;1,'PISO 2021'!$J54*'PART 2023'!$E$8,'PISO 2021'!G54+Copete!G54),2)</f>
        <v>5335158.2300000004</v>
      </c>
      <c r="I54" s="169">
        <f>ROUND(+IF('PART 2023'!$G$9&lt;1,'PISO 2021'!$J54*'PART 2023'!$E$9,'PISO 2021'!H54+Copete!H54),2)</f>
        <v>562593.1</v>
      </c>
      <c r="J54" s="169">
        <f>+ROUND('COEF Art 14 F II'!M55,2)</f>
        <v>2553155.35</v>
      </c>
      <c r="K54" s="169">
        <f>+'ISR BI'!E52</f>
        <v>12577383.619999999</v>
      </c>
      <c r="L54" s="218">
        <f t="shared" si="0"/>
        <v>174362442.74999997</v>
      </c>
    </row>
    <row r="55" spans="1:12">
      <c r="A55" s="248">
        <v>59</v>
      </c>
      <c r="B55" s="217" t="s">
        <v>33</v>
      </c>
      <c r="C55" s="169">
        <f>ROUND(+IF('PART 2023'!$G$4&lt;1,'PISO 2021'!$J55*'PART 2023'!$E$4,'PISO 2021'!C55+Copete!C55),2)</f>
        <v>22622868.190000001</v>
      </c>
      <c r="D55" s="169">
        <f>ROUND(+IF('PART 2023'!$G$5&lt;1,'PISO 2021'!$J55*'PART 2023'!$E$5,'PISO 2021'!D55+Copete!D55),2)</f>
        <v>3481849.99</v>
      </c>
      <c r="E55" s="178">
        <f>ROUND(+'PART 2023'!E$11*'Art.14 Frac.III'!R54,2)</f>
        <v>4892617.8600000003</v>
      </c>
      <c r="F55" s="169">
        <f>ROUND(+IF('PART 2023'!$G$6&lt;1,'PISO 2021'!$J55*'PART 2023'!$E$6,'PISO 2021'!E55+Copete!E55),2)</f>
        <v>692166.26</v>
      </c>
      <c r="G55" s="169">
        <f>ROUND(+IF('PART 2023'!$G$7&lt;1,'PISO 2021'!$J55*'PART 2023'!$E$7,'PISO 2021'!F55+Copete!F55),2)</f>
        <v>1224096.46</v>
      </c>
      <c r="H55" s="169">
        <f>ROUND(+IF('PART 2023'!$G$8&lt;1,'PISO 2021'!$J55*'PART 2023'!$E$8,'PISO 2021'!G55+Copete!G55),2)</f>
        <v>1022352.16</v>
      </c>
      <c r="I55" s="169">
        <f>ROUND(+IF('PART 2023'!$G$9&lt;1,'PISO 2021'!$J55*'PART 2023'!$E$9,'PISO 2021'!H55+Copete!H55),2)</f>
        <v>111869.74</v>
      </c>
      <c r="J55" s="169">
        <f>+ROUND('COEF Art 14 F II'!M56,2)</f>
        <v>261648.38</v>
      </c>
      <c r="K55" s="169">
        <f>+'ISR BI'!E53</f>
        <v>205082.81</v>
      </c>
      <c r="L55" s="218">
        <f t="shared" si="0"/>
        <v>34514551.850000009</v>
      </c>
    </row>
    <row r="56" spans="1:12" ht="13.5" thickBot="1">
      <c r="A56" s="248">
        <v>60</v>
      </c>
      <c r="B56" s="217" t="s">
        <v>34</v>
      </c>
      <c r="C56" s="169">
        <f>ROUND(+IF('PART 2023'!$G$4&lt;1,'PISO 2021'!$J56*'PART 2023'!$E$4,'PISO 2021'!C56+Copete!C56),2)</f>
        <v>27407222.870000001</v>
      </c>
      <c r="D56" s="169">
        <f>ROUND(+IF('PART 2023'!$G$5&lt;1,'PISO 2021'!$J56*'PART 2023'!$E$5,'PISO 2021'!D56+Copete!D56),2)</f>
        <v>4079789.01</v>
      </c>
      <c r="E56" s="178">
        <f>ROUND(+'PART 2023'!E$11*'Art.14 Frac.III'!R55,2)</f>
        <v>6755414.2000000002</v>
      </c>
      <c r="F56" s="169">
        <f>ROUND(+IF('PART 2023'!$G$6&lt;1,'PISO 2021'!$J56*'PART 2023'!$E$6,'PISO 2021'!E56+Copete!E56),2)</f>
        <v>862372.08</v>
      </c>
      <c r="G56" s="169">
        <f>ROUND(+IF('PART 2023'!$G$7&lt;1,'PISO 2021'!$J56*'PART 2023'!$E$7,'PISO 2021'!F56+Copete!F56),2)</f>
        <v>1502920.25</v>
      </c>
      <c r="H56" s="169">
        <f>ROUND(+IF('PART 2023'!$G$8&lt;1,'PISO 2021'!$J56*'PART 2023'!$E$8,'PISO 2021'!G56+Copete!G56),2)</f>
        <v>1100037.9099999999</v>
      </c>
      <c r="I56" s="169">
        <f>ROUND(+IF('PART 2023'!$G$9&lt;1,'PISO 2021'!$J56*'PART 2023'!$E$9,'PISO 2021'!H56+Copete!H56),2)</f>
        <v>143681.99</v>
      </c>
      <c r="J56" s="169">
        <f>+ROUND('COEF Art 14 F II'!M57,2)</f>
        <v>302870.42</v>
      </c>
      <c r="K56" s="169">
        <f>+'ISR BI'!E54</f>
        <v>22123.63</v>
      </c>
      <c r="L56" s="218">
        <f t="shared" si="0"/>
        <v>42176432.360000007</v>
      </c>
    </row>
    <row r="57" spans="1:12" ht="14.25" thickTop="1" thickBot="1">
      <c r="B57" s="219" t="s">
        <v>35</v>
      </c>
      <c r="C57" s="226">
        <f t="shared" ref="C57:K57" si="1">SUM(C6:C56)</f>
        <v>8897141360.9899979</v>
      </c>
      <c r="D57" s="226">
        <f t="shared" si="1"/>
        <v>1354779697.5000002</v>
      </c>
      <c r="E57" s="226">
        <f t="shared" si="1"/>
        <v>414389890.90000004</v>
      </c>
      <c r="F57" s="226">
        <f t="shared" si="1"/>
        <v>274722797.37</v>
      </c>
      <c r="G57" s="226">
        <f t="shared" si="1"/>
        <v>483512866.56999993</v>
      </c>
      <c r="H57" s="226">
        <f t="shared" si="1"/>
        <v>387494563.58000004</v>
      </c>
      <c r="I57" s="226">
        <f t="shared" si="1"/>
        <v>44854244.410000004</v>
      </c>
      <c r="J57" s="226">
        <f t="shared" si="1"/>
        <v>247525959.38999996</v>
      </c>
      <c r="K57" s="226">
        <f t="shared" si="1"/>
        <v>316787550.37</v>
      </c>
      <c r="L57" s="227">
        <f t="shared" si="0"/>
        <v>12421208931.079998</v>
      </c>
    </row>
    <row r="58" spans="1:12" ht="16.5" customHeight="1">
      <c r="B58" s="94" t="s">
        <v>151</v>
      </c>
      <c r="C58" s="172"/>
      <c r="D58" s="175"/>
      <c r="E58" s="175"/>
      <c r="F58" s="154"/>
      <c r="K58" s="169"/>
    </row>
    <row r="59" spans="1:12">
      <c r="B59" s="99"/>
      <c r="C59" s="173"/>
    </row>
    <row r="60" spans="1:12">
      <c r="B60" s="99"/>
      <c r="C60" s="173"/>
    </row>
    <row r="61" spans="1:12" ht="16.5" customHeight="1"/>
  </sheetData>
  <mergeCells count="4">
    <mergeCell ref="B1:L1"/>
    <mergeCell ref="B2:L2"/>
    <mergeCell ref="B3:L3"/>
    <mergeCell ref="B4:L4"/>
  </mergeCells>
  <printOptions horizontalCentered="1"/>
  <pageMargins left="0.19685039370078741" right="0.19685039370078741" top="0.35433070866141736" bottom="0.15748031496062992" header="0.35433070866141736" footer="0.15748031496062992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C611-00EF-4CFF-B0FF-9F3C2C50721A}">
  <dimension ref="A1:L61"/>
  <sheetViews>
    <sheetView showGridLines="0" workbookViewId="0">
      <selection activeCell="B4" sqref="B4:L4"/>
    </sheetView>
  </sheetViews>
  <sheetFormatPr baseColWidth="10" defaultColWidth="11.42578125" defaultRowHeight="12.75"/>
  <cols>
    <col min="1" max="1" width="3" style="98" bestFit="1" customWidth="1"/>
    <col min="2" max="2" width="41.28515625" style="98" customWidth="1"/>
    <col min="3" max="3" width="14.42578125" style="174" customWidth="1"/>
    <col min="4" max="4" width="14.42578125" style="176" customWidth="1"/>
    <col min="5" max="5" width="13.5703125" style="176" customWidth="1"/>
    <col min="6" max="6" width="13.5703125" style="155" customWidth="1"/>
    <col min="7" max="11" width="13.28515625" style="155" customWidth="1"/>
    <col min="12" max="12" width="16.5703125" style="155" customWidth="1"/>
    <col min="13" max="13" width="12.5703125" style="98" bestFit="1" customWidth="1"/>
    <col min="14" max="16384" width="11.42578125" style="98"/>
  </cols>
  <sheetData>
    <row r="1" spans="1:12">
      <c r="B1" s="292" t="s">
        <v>88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 customHeight="1">
      <c r="B2" s="292" t="s">
        <v>191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2.75" customHeight="1">
      <c r="B3" s="292" t="s">
        <v>235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ht="13.5" thickBo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ht="47.25" customHeight="1">
      <c r="B5" s="221" t="s">
        <v>152</v>
      </c>
      <c r="C5" s="215" t="s">
        <v>153</v>
      </c>
      <c r="D5" s="216" t="s">
        <v>154</v>
      </c>
      <c r="E5" s="216" t="s">
        <v>155</v>
      </c>
      <c r="F5" s="216" t="s">
        <v>156</v>
      </c>
      <c r="G5" s="216" t="s">
        <v>157</v>
      </c>
      <c r="H5" s="216" t="s">
        <v>158</v>
      </c>
      <c r="I5" s="216" t="s">
        <v>159</v>
      </c>
      <c r="J5" s="216" t="s">
        <v>192</v>
      </c>
      <c r="K5" s="216" t="s">
        <v>195</v>
      </c>
      <c r="L5" s="220" t="s">
        <v>150</v>
      </c>
    </row>
    <row r="6" spans="1:12">
      <c r="A6" s="248">
        <v>15</v>
      </c>
      <c r="B6" s="217" t="s">
        <v>1</v>
      </c>
      <c r="C6" s="169">
        <v>10061401.349999996</v>
      </c>
      <c r="D6" s="169">
        <v>1478904.8599999999</v>
      </c>
      <c r="E6" s="169">
        <v>4607513.7399999984</v>
      </c>
      <c r="F6" s="169">
        <v>322221.88000000006</v>
      </c>
      <c r="G6" s="169">
        <v>525759.10999999987</v>
      </c>
      <c r="H6" s="169">
        <v>380425.29000000004</v>
      </c>
      <c r="I6" s="169">
        <v>54444.150000000038</v>
      </c>
      <c r="J6" s="169">
        <v>141286.14000000001</v>
      </c>
      <c r="K6" s="169">
        <v>25507.839999999989</v>
      </c>
      <c r="L6" s="218">
        <f>SUM(C6:K6)</f>
        <v>17597464.359999992</v>
      </c>
    </row>
    <row r="7" spans="1:12">
      <c r="A7" s="248">
        <v>11</v>
      </c>
      <c r="B7" s="217" t="s">
        <v>2</v>
      </c>
      <c r="C7" s="169">
        <v>19069639.729999993</v>
      </c>
      <c r="D7" s="169">
        <v>2790405.8400000003</v>
      </c>
      <c r="E7" s="169">
        <v>3948028.0100000002</v>
      </c>
      <c r="F7" s="169">
        <v>613453.50999999978</v>
      </c>
      <c r="G7" s="169">
        <v>991500.9499999996</v>
      </c>
      <c r="H7" s="169">
        <v>707333.80000000016</v>
      </c>
      <c r="I7" s="169">
        <v>104071.39000000001</v>
      </c>
      <c r="J7" s="169">
        <v>182161.53000000003</v>
      </c>
      <c r="K7" s="169">
        <v>52289.319999999985</v>
      </c>
      <c r="L7" s="218">
        <f t="shared" ref="L7:L56" si="0">SUM(C7:K7)</f>
        <v>28458884.079999998</v>
      </c>
    </row>
    <row r="8" spans="1:12">
      <c r="A8" s="248">
        <v>12</v>
      </c>
      <c r="B8" s="217" t="s">
        <v>143</v>
      </c>
      <c r="C8" s="169">
        <v>20699353.979999993</v>
      </c>
      <c r="D8" s="169">
        <v>3059446.8400000008</v>
      </c>
      <c r="E8" s="169">
        <v>3147105.7499999995</v>
      </c>
      <c r="F8" s="169">
        <v>659238.24000000022</v>
      </c>
      <c r="G8" s="169">
        <v>1088326.6700000002</v>
      </c>
      <c r="H8" s="169">
        <v>801008.47000000009</v>
      </c>
      <c r="I8" s="169">
        <v>110825.96999999997</v>
      </c>
      <c r="J8" s="169">
        <v>163008.25000000003</v>
      </c>
      <c r="K8" s="169">
        <v>1.4210854715202004E-14</v>
      </c>
      <c r="L8" s="218">
        <f t="shared" si="0"/>
        <v>29728314.169999994</v>
      </c>
    </row>
    <row r="9" spans="1:12">
      <c r="A9" s="248">
        <v>13</v>
      </c>
      <c r="B9" s="217" t="s">
        <v>3</v>
      </c>
      <c r="C9" s="169">
        <v>59311762.850000016</v>
      </c>
      <c r="D9" s="169">
        <v>8861372.5000000037</v>
      </c>
      <c r="E9" s="169">
        <v>6423661.209999999</v>
      </c>
      <c r="F9" s="169">
        <v>1868366.6600000006</v>
      </c>
      <c r="G9" s="169">
        <v>3156000.9</v>
      </c>
      <c r="H9" s="169">
        <v>2398301.2400000007</v>
      </c>
      <c r="I9" s="169">
        <v>310921.2</v>
      </c>
      <c r="J9" s="169">
        <v>1514537.79</v>
      </c>
      <c r="K9" s="169">
        <v>3006868.1300000004</v>
      </c>
      <c r="L9" s="218">
        <f t="shared" si="0"/>
        <v>86851792.480000019</v>
      </c>
    </row>
    <row r="10" spans="1:12">
      <c r="A10" s="248">
        <v>14</v>
      </c>
      <c r="B10" s="217" t="s">
        <v>144</v>
      </c>
      <c r="C10" s="169">
        <v>70747100.669999972</v>
      </c>
      <c r="D10" s="169">
        <v>10416474.48</v>
      </c>
      <c r="E10" s="169">
        <v>8168680.6799999997</v>
      </c>
      <c r="F10" s="169">
        <v>2261911.85</v>
      </c>
      <c r="G10" s="169">
        <v>3703816.5499999993</v>
      </c>
      <c r="H10" s="169">
        <v>2693996.5999999996</v>
      </c>
      <c r="I10" s="169">
        <v>381601.32999999996</v>
      </c>
      <c r="J10" s="169">
        <v>956224.62000000011</v>
      </c>
      <c r="K10" s="169">
        <v>169045.3</v>
      </c>
      <c r="L10" s="218">
        <f t="shared" si="0"/>
        <v>99498852.079999968</v>
      </c>
    </row>
    <row r="11" spans="1:12">
      <c r="A11" s="248">
        <v>17</v>
      </c>
      <c r="B11" s="217" t="s">
        <v>4</v>
      </c>
      <c r="C11" s="169">
        <v>592355545.0999999</v>
      </c>
      <c r="D11" s="169">
        <v>91852688.13000004</v>
      </c>
      <c r="E11" s="169">
        <v>18663109.209999997</v>
      </c>
      <c r="F11" s="169">
        <v>17931207.740000002</v>
      </c>
      <c r="G11" s="169">
        <v>32845564.879999999</v>
      </c>
      <c r="H11" s="169">
        <v>27596267.440000001</v>
      </c>
      <c r="I11" s="169">
        <v>2870560.8800000008</v>
      </c>
      <c r="J11" s="169">
        <v>26054937.069999997</v>
      </c>
      <c r="K11" s="169">
        <v>43911313.839999989</v>
      </c>
      <c r="L11" s="218">
        <f t="shared" si="0"/>
        <v>854081194.29000008</v>
      </c>
    </row>
    <row r="12" spans="1:12">
      <c r="A12" s="248">
        <v>16</v>
      </c>
      <c r="B12" s="217" t="s">
        <v>5</v>
      </c>
      <c r="C12" s="169">
        <v>77868907.910000011</v>
      </c>
      <c r="D12" s="169">
        <v>11339348.41</v>
      </c>
      <c r="E12" s="169">
        <v>5763579.5199999986</v>
      </c>
      <c r="F12" s="169">
        <v>2516920.83</v>
      </c>
      <c r="G12" s="169">
        <v>4026943.919999999</v>
      </c>
      <c r="H12" s="169">
        <v>2828561.92</v>
      </c>
      <c r="I12" s="169">
        <v>428813.49000000011</v>
      </c>
      <c r="J12" s="169">
        <v>844491.98</v>
      </c>
      <c r="K12" s="169">
        <v>6237.3299999999945</v>
      </c>
      <c r="L12" s="218">
        <f t="shared" si="0"/>
        <v>105623805.31</v>
      </c>
    </row>
    <row r="13" spans="1:12">
      <c r="A13" s="248">
        <v>18</v>
      </c>
      <c r="B13" s="217" t="s">
        <v>6</v>
      </c>
      <c r="C13" s="169">
        <v>14638835.120000008</v>
      </c>
      <c r="D13" s="169">
        <v>2233572.9699999988</v>
      </c>
      <c r="E13" s="169">
        <v>30290659.530000005</v>
      </c>
      <c r="F13" s="169">
        <v>451035.55999999994</v>
      </c>
      <c r="G13" s="169">
        <v>797322.7099999995</v>
      </c>
      <c r="H13" s="169">
        <v>642449.40000000014</v>
      </c>
      <c r="I13" s="169">
        <v>73485.709999999977</v>
      </c>
      <c r="J13" s="169">
        <v>247413.72000000003</v>
      </c>
      <c r="K13" s="169">
        <v>95242.180000000022</v>
      </c>
      <c r="L13" s="218">
        <f t="shared" si="0"/>
        <v>49470016.900000013</v>
      </c>
    </row>
    <row r="14" spans="1:12">
      <c r="A14" s="248">
        <v>19</v>
      </c>
      <c r="B14" s="217" t="s">
        <v>128</v>
      </c>
      <c r="C14" s="169">
        <v>135335572.72999996</v>
      </c>
      <c r="D14" s="169">
        <v>20260906.930000003</v>
      </c>
      <c r="E14" s="169">
        <v>4738162.9400000013</v>
      </c>
      <c r="F14" s="169">
        <v>4254196.88</v>
      </c>
      <c r="G14" s="169">
        <v>7217601.6599999992</v>
      </c>
      <c r="H14" s="169">
        <v>5517279.629999999</v>
      </c>
      <c r="I14" s="169">
        <v>706557.08999999985</v>
      </c>
      <c r="J14" s="169">
        <v>4379974.419999999</v>
      </c>
      <c r="K14" s="169">
        <v>3193795.4199999995</v>
      </c>
      <c r="L14" s="218">
        <f t="shared" si="0"/>
        <v>185604047.69999993</v>
      </c>
    </row>
    <row r="15" spans="1:12">
      <c r="A15" s="248">
        <v>20</v>
      </c>
      <c r="B15" s="217" t="s">
        <v>129</v>
      </c>
      <c r="C15" s="169">
        <v>41905911.829999991</v>
      </c>
      <c r="D15" s="169">
        <v>7031740.8200000003</v>
      </c>
      <c r="E15" s="169">
        <v>14550945.110000001</v>
      </c>
      <c r="F15" s="169">
        <v>1152587.3900000004</v>
      </c>
      <c r="G15" s="169">
        <v>2534719.2699999991</v>
      </c>
      <c r="H15" s="169">
        <v>2532308.8400000003</v>
      </c>
      <c r="I15" s="169">
        <v>165726.45000000004</v>
      </c>
      <c r="J15" s="169">
        <v>3047815.8299999991</v>
      </c>
      <c r="K15" s="169">
        <v>1508889.25</v>
      </c>
      <c r="L15" s="218">
        <f t="shared" si="0"/>
        <v>74430644.789999992</v>
      </c>
    </row>
    <row r="16" spans="1:12">
      <c r="A16" s="248">
        <v>23</v>
      </c>
      <c r="B16" s="217" t="s">
        <v>130</v>
      </c>
      <c r="C16" s="169">
        <v>33930180.170000002</v>
      </c>
      <c r="D16" s="169">
        <v>5131409.3100000005</v>
      </c>
      <c r="E16" s="169">
        <v>6524430.0100000007</v>
      </c>
      <c r="F16" s="169">
        <v>1055328.6000000001</v>
      </c>
      <c r="G16" s="169">
        <v>1830010.6200000006</v>
      </c>
      <c r="H16" s="169">
        <v>1439509.7999999998</v>
      </c>
      <c r="I16" s="169">
        <v>173518.9</v>
      </c>
      <c r="J16" s="169">
        <v>498760.10999999993</v>
      </c>
      <c r="K16" s="169">
        <v>65518.180000000008</v>
      </c>
      <c r="L16" s="218">
        <f t="shared" si="0"/>
        <v>50648665.699999996</v>
      </c>
    </row>
    <row r="17" spans="1:12">
      <c r="A17" s="248">
        <v>21</v>
      </c>
      <c r="B17" s="217" t="s">
        <v>7</v>
      </c>
      <c r="C17" s="169">
        <v>64426984.689999998</v>
      </c>
      <c r="D17" s="169">
        <v>9469658.8000000007</v>
      </c>
      <c r="E17" s="169">
        <v>4134905.3999999994</v>
      </c>
      <c r="F17" s="169">
        <v>2063381.5600000003</v>
      </c>
      <c r="G17" s="169">
        <v>3366504.5299999993</v>
      </c>
      <c r="H17" s="169">
        <v>2435646.7400000002</v>
      </c>
      <c r="I17" s="169">
        <v>348650.16</v>
      </c>
      <c r="J17" s="169">
        <v>669743.53</v>
      </c>
      <c r="K17" s="169">
        <v>157866.33000000005</v>
      </c>
      <c r="L17" s="218">
        <f t="shared" si="0"/>
        <v>87073341.739999995</v>
      </c>
    </row>
    <row r="18" spans="1:12">
      <c r="A18" s="248">
        <v>22</v>
      </c>
      <c r="B18" s="217" t="s">
        <v>131</v>
      </c>
      <c r="C18" s="169">
        <v>43899147.93</v>
      </c>
      <c r="D18" s="169">
        <v>6928157.1099999985</v>
      </c>
      <c r="E18" s="169">
        <v>4756879.040000001</v>
      </c>
      <c r="F18" s="169">
        <v>1302581.9699999997</v>
      </c>
      <c r="G18" s="169">
        <v>2482026.5100000002</v>
      </c>
      <c r="H18" s="169">
        <v>2176659.9</v>
      </c>
      <c r="I18" s="169">
        <v>204266.88999999996</v>
      </c>
      <c r="J18" s="169">
        <v>2336526.0199999996</v>
      </c>
      <c r="K18" s="169">
        <v>3829564.16</v>
      </c>
      <c r="L18" s="218">
        <f t="shared" si="0"/>
        <v>67915809.529999986</v>
      </c>
    </row>
    <row r="19" spans="1:12">
      <c r="A19" s="248">
        <v>25</v>
      </c>
      <c r="B19" s="217" t="s">
        <v>8</v>
      </c>
      <c r="C19" s="169">
        <v>174957456.47000003</v>
      </c>
      <c r="D19" s="169">
        <v>25463581.470000003</v>
      </c>
      <c r="E19" s="169">
        <v>3032019.8700000006</v>
      </c>
      <c r="F19" s="169">
        <v>5658089.0499999998</v>
      </c>
      <c r="G19" s="169">
        <v>9042322.9700000007</v>
      </c>
      <c r="H19" s="169">
        <v>6340164.8400000008</v>
      </c>
      <c r="I19" s="169">
        <v>964439.68000000017</v>
      </c>
      <c r="J19" s="169">
        <v>1889645.9100000006</v>
      </c>
      <c r="K19" s="169">
        <v>33856.040000000008</v>
      </c>
      <c r="L19" s="218">
        <f t="shared" si="0"/>
        <v>227381576.30000004</v>
      </c>
    </row>
    <row r="20" spans="1:12">
      <c r="A20" s="248">
        <v>27</v>
      </c>
      <c r="B20" s="217" t="s">
        <v>9</v>
      </c>
      <c r="C20" s="169">
        <v>22607935.68</v>
      </c>
      <c r="D20" s="169">
        <v>3309233.3000000003</v>
      </c>
      <c r="E20" s="169">
        <v>2213679.6399999987</v>
      </c>
      <c r="F20" s="169">
        <v>727042.98000000021</v>
      </c>
      <c r="G20" s="169">
        <v>1175896.7099999997</v>
      </c>
      <c r="H20" s="169">
        <v>839749.21</v>
      </c>
      <c r="I20" s="169">
        <v>123306.01999999997</v>
      </c>
      <c r="J20" s="169">
        <v>159263.54</v>
      </c>
      <c r="K20" s="169">
        <v>4963.53</v>
      </c>
      <c r="L20" s="218">
        <f t="shared" si="0"/>
        <v>31161070.609999999</v>
      </c>
    </row>
    <row r="21" spans="1:12">
      <c r="A21" s="248">
        <v>26</v>
      </c>
      <c r="B21" s="217" t="s">
        <v>132</v>
      </c>
      <c r="C21" s="169">
        <v>15739515.939999998</v>
      </c>
      <c r="D21" s="169">
        <v>2299119.4400000009</v>
      </c>
      <c r="E21" s="169">
        <v>4324935.6100000003</v>
      </c>
      <c r="F21" s="169">
        <v>507195.15999999992</v>
      </c>
      <c r="G21" s="169">
        <v>816773.86</v>
      </c>
      <c r="H21" s="169">
        <v>579466.08999999985</v>
      </c>
      <c r="I21" s="169">
        <v>86177.339999999982</v>
      </c>
      <c r="J21" s="169">
        <v>172914.10000000003</v>
      </c>
      <c r="K21" s="169">
        <v>164642.46</v>
      </c>
      <c r="L21" s="218">
        <f t="shared" si="0"/>
        <v>24690740</v>
      </c>
    </row>
    <row r="22" spans="1:12">
      <c r="A22" s="248">
        <v>29</v>
      </c>
      <c r="B22" s="217" t="s">
        <v>10</v>
      </c>
      <c r="C22" s="169">
        <v>139465805.87999994</v>
      </c>
      <c r="D22" s="169">
        <v>20476076.820000008</v>
      </c>
      <c r="E22" s="169">
        <v>4227672.709999999</v>
      </c>
      <c r="F22" s="169">
        <v>4471621.6500000013</v>
      </c>
      <c r="G22" s="169">
        <v>7278413.3499999978</v>
      </c>
      <c r="H22" s="169">
        <v>5247475.3600000003</v>
      </c>
      <c r="I22" s="169">
        <v>756336.4700000002</v>
      </c>
      <c r="J22" s="169">
        <v>2021156.6799999997</v>
      </c>
      <c r="K22" s="169">
        <v>100842.14000000003</v>
      </c>
      <c r="L22" s="218">
        <f t="shared" si="0"/>
        <v>184045401.05999994</v>
      </c>
    </row>
    <row r="23" spans="1:12">
      <c r="A23" s="248">
        <v>30</v>
      </c>
      <c r="B23" s="217" t="s">
        <v>133</v>
      </c>
      <c r="C23" s="169">
        <v>232038373.90999994</v>
      </c>
      <c r="D23" s="169">
        <v>36675576.019999988</v>
      </c>
      <c r="E23" s="169">
        <v>5750315.6100000003</v>
      </c>
      <c r="F23" s="169">
        <v>6873059.0999999978</v>
      </c>
      <c r="G23" s="169">
        <v>13141161.979999997</v>
      </c>
      <c r="H23" s="169">
        <v>11565322.150000006</v>
      </c>
      <c r="I23" s="169">
        <v>1075825.2700000003</v>
      </c>
      <c r="J23" s="169">
        <v>13442680.269999996</v>
      </c>
      <c r="K23" s="169">
        <v>27158244.650000002</v>
      </c>
      <c r="L23" s="218">
        <f t="shared" si="0"/>
        <v>347720558.95999992</v>
      </c>
    </row>
    <row r="24" spans="1:12">
      <c r="A24" s="248">
        <v>32</v>
      </c>
      <c r="B24" s="217" t="s">
        <v>11</v>
      </c>
      <c r="C24" s="169">
        <v>28932732.02</v>
      </c>
      <c r="D24" s="169">
        <v>4341286.0999999987</v>
      </c>
      <c r="E24" s="169">
        <v>3015614.8200000022</v>
      </c>
      <c r="F24" s="169">
        <v>907353.56000000052</v>
      </c>
      <c r="G24" s="169">
        <v>1546894.18</v>
      </c>
      <c r="H24" s="169">
        <v>1190169.7800000003</v>
      </c>
      <c r="I24" s="169">
        <v>150365.14999999994</v>
      </c>
      <c r="J24" s="169">
        <v>380675.12000000005</v>
      </c>
      <c r="K24" s="169">
        <v>40779.850000000006</v>
      </c>
      <c r="L24" s="218">
        <f t="shared" si="0"/>
        <v>40505870.579999998</v>
      </c>
    </row>
    <row r="25" spans="1:12">
      <c r="A25" s="248">
        <v>33</v>
      </c>
      <c r="B25" s="217" t="s">
        <v>12</v>
      </c>
      <c r="C25" s="169">
        <v>433549199.32000011</v>
      </c>
      <c r="D25" s="169">
        <v>66601684.109999977</v>
      </c>
      <c r="E25" s="169">
        <v>10287289.82</v>
      </c>
      <c r="F25" s="169">
        <v>13259973.919999994</v>
      </c>
      <c r="G25" s="169">
        <v>23792326.530000012</v>
      </c>
      <c r="H25" s="169">
        <v>19517582.770000003</v>
      </c>
      <c r="I25" s="169">
        <v>2144792.2499999991</v>
      </c>
      <c r="J25" s="169">
        <v>18369694.899999999</v>
      </c>
      <c r="K25" s="169">
        <v>13984685.820000002</v>
      </c>
      <c r="L25" s="218">
        <f t="shared" si="0"/>
        <v>601507229.44000006</v>
      </c>
    </row>
    <row r="26" spans="1:12">
      <c r="A26" s="248">
        <v>34</v>
      </c>
      <c r="B26" s="217" t="s">
        <v>134</v>
      </c>
      <c r="C26" s="169">
        <v>55504088.769999996</v>
      </c>
      <c r="D26" s="169">
        <v>8210685.8599999994</v>
      </c>
      <c r="E26" s="169">
        <v>4532972.5700000012</v>
      </c>
      <c r="F26" s="169">
        <v>1766195.9600000004</v>
      </c>
      <c r="G26" s="169">
        <v>2921036.6</v>
      </c>
      <c r="H26" s="169">
        <v>2155422.0299999998</v>
      </c>
      <c r="I26" s="169">
        <v>296686.30000000005</v>
      </c>
      <c r="J26" s="169">
        <v>783845.94</v>
      </c>
      <c r="K26" s="169">
        <v>593651.47000000009</v>
      </c>
      <c r="L26" s="218">
        <f t="shared" si="0"/>
        <v>76764585.499999985</v>
      </c>
    </row>
    <row r="27" spans="1:12">
      <c r="A27" s="248">
        <v>35</v>
      </c>
      <c r="B27" s="217" t="s">
        <v>13</v>
      </c>
      <c r="C27" s="169">
        <v>9446789.25</v>
      </c>
      <c r="D27" s="169">
        <v>1414982.87</v>
      </c>
      <c r="E27" s="169">
        <v>7022297.4499999993</v>
      </c>
      <c r="F27" s="169">
        <v>296798.69</v>
      </c>
      <c r="G27" s="169">
        <v>504091.62000000017</v>
      </c>
      <c r="H27" s="169">
        <v>385900.02999999991</v>
      </c>
      <c r="I27" s="169">
        <v>49269.450000000004</v>
      </c>
      <c r="J27" s="169">
        <v>110268.97000000004</v>
      </c>
      <c r="K27" s="169">
        <v>11456.119999999995</v>
      </c>
      <c r="L27" s="218">
        <f t="shared" si="0"/>
        <v>19241854.450000003</v>
      </c>
    </row>
    <row r="28" spans="1:12">
      <c r="A28" s="248">
        <v>61</v>
      </c>
      <c r="B28" s="217" t="s">
        <v>14</v>
      </c>
      <c r="C28" s="169">
        <v>39575870.960000008</v>
      </c>
      <c r="D28" s="169">
        <v>5781268.2499999991</v>
      </c>
      <c r="E28" s="169">
        <v>6495139.1700000018</v>
      </c>
      <c r="F28" s="169">
        <v>1275240.5200000003</v>
      </c>
      <c r="G28" s="169">
        <v>2053837.0499999998</v>
      </c>
      <c r="H28" s="169">
        <v>1457350.6200000003</v>
      </c>
      <c r="I28" s="169">
        <v>216665.82999999993</v>
      </c>
      <c r="J28" s="169">
        <v>381599.18000000005</v>
      </c>
      <c r="K28" s="169">
        <v>4245.9999999999991</v>
      </c>
      <c r="L28" s="218">
        <f t="shared" si="0"/>
        <v>57241217.580000006</v>
      </c>
    </row>
    <row r="29" spans="1:12">
      <c r="A29" s="248">
        <v>36</v>
      </c>
      <c r="B29" s="217" t="s">
        <v>15</v>
      </c>
      <c r="C29" s="169">
        <v>55822601.720000021</v>
      </c>
      <c r="D29" s="169">
        <v>8889894.2999999989</v>
      </c>
      <c r="E29" s="169">
        <v>7393224.1000000015</v>
      </c>
      <c r="F29" s="169">
        <v>1638999.6300000001</v>
      </c>
      <c r="G29" s="169">
        <v>3187803.5799999991</v>
      </c>
      <c r="H29" s="169">
        <v>2854789.89</v>
      </c>
      <c r="I29" s="169">
        <v>254150.22</v>
      </c>
      <c r="J29" s="169">
        <v>3680208.0699999994</v>
      </c>
      <c r="K29" s="169">
        <v>1922690.2600000002</v>
      </c>
      <c r="L29" s="218">
        <f t="shared" si="0"/>
        <v>85644361.770000011</v>
      </c>
    </row>
    <row r="30" spans="1:12">
      <c r="A30" s="248">
        <v>28</v>
      </c>
      <c r="B30" s="217" t="s">
        <v>16</v>
      </c>
      <c r="C30" s="169">
        <v>744087003.25999975</v>
      </c>
      <c r="D30" s="169">
        <v>114402229.80999999</v>
      </c>
      <c r="E30" s="169">
        <v>25062990.190000001</v>
      </c>
      <c r="F30" s="169">
        <v>22736859.860000003</v>
      </c>
      <c r="G30" s="169">
        <v>40871933.130000032</v>
      </c>
      <c r="H30" s="169">
        <v>33601576.079999998</v>
      </c>
      <c r="I30" s="169">
        <v>3674333.2699999986</v>
      </c>
      <c r="J30" s="169">
        <v>27340533.560000006</v>
      </c>
      <c r="K30" s="169">
        <v>17473032.439999998</v>
      </c>
      <c r="L30" s="218">
        <f t="shared" si="0"/>
        <v>1029250491.5999999</v>
      </c>
    </row>
    <row r="31" spans="1:12">
      <c r="A31" s="248">
        <v>37</v>
      </c>
      <c r="B31" s="217" t="s">
        <v>135</v>
      </c>
      <c r="C31" s="169">
        <v>15630625.449999999</v>
      </c>
      <c r="D31" s="169">
        <v>2272621.1800000006</v>
      </c>
      <c r="E31" s="169">
        <v>3473262.4300000016</v>
      </c>
      <c r="F31" s="169">
        <v>505987.54</v>
      </c>
      <c r="G31" s="169">
        <v>806933.75999999978</v>
      </c>
      <c r="H31" s="169">
        <v>563944.82000000007</v>
      </c>
      <c r="I31" s="169">
        <v>86322.450000000012</v>
      </c>
      <c r="J31" s="169">
        <v>127307.06999999999</v>
      </c>
      <c r="K31" s="169">
        <v>4882.4800000000014</v>
      </c>
      <c r="L31" s="218">
        <f t="shared" si="0"/>
        <v>23471887.18</v>
      </c>
    </row>
    <row r="32" spans="1:12">
      <c r="A32" s="248">
        <v>39</v>
      </c>
      <c r="B32" s="217" t="s">
        <v>17</v>
      </c>
      <c r="C32" s="169">
        <v>27324496.89999998</v>
      </c>
      <c r="D32" s="169">
        <v>3991847.5399999996</v>
      </c>
      <c r="E32" s="169">
        <v>5419099.6200000001</v>
      </c>
      <c r="F32" s="169">
        <v>880410.25000000012</v>
      </c>
      <c r="G32" s="169">
        <v>1418143.2999999998</v>
      </c>
      <c r="H32" s="169">
        <v>1006494.2999999999</v>
      </c>
      <c r="I32" s="169">
        <v>149574.53000000003</v>
      </c>
      <c r="J32" s="169">
        <v>610673.03999999992</v>
      </c>
      <c r="K32" s="169">
        <v>15574.099999999997</v>
      </c>
      <c r="L32" s="218">
        <f t="shared" si="0"/>
        <v>40816313.579999976</v>
      </c>
    </row>
    <row r="33" spans="1:12">
      <c r="A33" s="248">
        <v>38</v>
      </c>
      <c r="B33" s="217" t="s">
        <v>18</v>
      </c>
      <c r="C33" s="169">
        <v>16355139.789999997</v>
      </c>
      <c r="D33" s="169">
        <v>2419378.34</v>
      </c>
      <c r="E33" s="169">
        <v>6620468.8099999996</v>
      </c>
      <c r="F33" s="169">
        <v>520442.94999999995</v>
      </c>
      <c r="G33" s="169">
        <v>860717.82000000018</v>
      </c>
      <c r="H33" s="169">
        <v>635098.70000000007</v>
      </c>
      <c r="I33" s="169">
        <v>87425.089999999967</v>
      </c>
      <c r="J33" s="169">
        <v>141706.30999999997</v>
      </c>
      <c r="K33" s="169">
        <v>24346.599999999995</v>
      </c>
      <c r="L33" s="218">
        <f t="shared" si="0"/>
        <v>27664724.409999993</v>
      </c>
    </row>
    <row r="34" spans="1:12">
      <c r="A34" s="248">
        <v>40</v>
      </c>
      <c r="B34" s="217" t="s">
        <v>19</v>
      </c>
      <c r="C34" s="169">
        <v>22174637.350000013</v>
      </c>
      <c r="D34" s="169">
        <v>3252885.6999999993</v>
      </c>
      <c r="E34" s="169">
        <v>3897890.0800000005</v>
      </c>
      <c r="F34" s="169">
        <v>711571.21000000031</v>
      </c>
      <c r="G34" s="169">
        <v>1156158.6099999999</v>
      </c>
      <c r="H34" s="169">
        <v>831345.86999999976</v>
      </c>
      <c r="I34" s="169">
        <v>120447.47000000003</v>
      </c>
      <c r="J34" s="169">
        <v>336764.59000000008</v>
      </c>
      <c r="K34" s="169">
        <v>33947.990000000005</v>
      </c>
      <c r="L34" s="218">
        <f t="shared" si="0"/>
        <v>32515648.870000012</v>
      </c>
    </row>
    <row r="35" spans="1:12">
      <c r="A35" s="248">
        <v>41</v>
      </c>
      <c r="B35" s="217" t="s">
        <v>20</v>
      </c>
      <c r="C35" s="169">
        <v>21496490.310000002</v>
      </c>
      <c r="D35" s="169">
        <v>3169429.45</v>
      </c>
      <c r="E35" s="169">
        <v>2435139.8099999996</v>
      </c>
      <c r="F35" s="169">
        <v>686328.42000000016</v>
      </c>
      <c r="G35" s="169">
        <v>1127138.56</v>
      </c>
      <c r="H35" s="169">
        <v>823337.3200000003</v>
      </c>
      <c r="I35" s="169">
        <v>115642.51000000005</v>
      </c>
      <c r="J35" s="169">
        <v>228898.28999999995</v>
      </c>
      <c r="K35" s="169">
        <v>4338.920000000001</v>
      </c>
      <c r="L35" s="218">
        <f t="shared" si="0"/>
        <v>30086743.590000004</v>
      </c>
    </row>
    <row r="36" spans="1:12">
      <c r="A36" s="248">
        <v>42</v>
      </c>
      <c r="B36" s="217" t="s">
        <v>136</v>
      </c>
      <c r="C36" s="169">
        <v>274094519.13000005</v>
      </c>
      <c r="D36" s="169">
        <v>43648663.410000019</v>
      </c>
      <c r="E36" s="169">
        <v>7258785.5300000012</v>
      </c>
      <c r="F36" s="169">
        <v>8047998.9400000032</v>
      </c>
      <c r="G36" s="169">
        <v>15651799.109999998</v>
      </c>
      <c r="H36" s="169">
        <v>14015562.150000002</v>
      </c>
      <c r="I36" s="169">
        <v>1248015.1800000004</v>
      </c>
      <c r="J36" s="169">
        <v>16716374.710000001</v>
      </c>
      <c r="K36" s="169">
        <v>7893589.9799999986</v>
      </c>
      <c r="L36" s="218">
        <f t="shared" si="0"/>
        <v>388575308.14000005</v>
      </c>
    </row>
    <row r="37" spans="1:12">
      <c r="A37" s="248">
        <v>43</v>
      </c>
      <c r="B37" s="217" t="s">
        <v>21</v>
      </c>
      <c r="C37" s="169">
        <v>41193246.750000007</v>
      </c>
      <c r="D37" s="169">
        <v>6192984.4799999986</v>
      </c>
      <c r="E37" s="169">
        <v>20626208.719999999</v>
      </c>
      <c r="F37" s="169">
        <v>1289237.6300000001</v>
      </c>
      <c r="G37" s="169">
        <v>2207166.2100000004</v>
      </c>
      <c r="H37" s="169">
        <v>1707598.8300000005</v>
      </c>
      <c r="I37" s="169">
        <v>213241.20000000007</v>
      </c>
      <c r="J37" s="169">
        <v>466359.77</v>
      </c>
      <c r="K37" s="169">
        <v>47185</v>
      </c>
      <c r="L37" s="218">
        <f t="shared" si="0"/>
        <v>73943228.589999989</v>
      </c>
    </row>
    <row r="38" spans="1:12">
      <c r="A38" s="248">
        <v>44</v>
      </c>
      <c r="B38" s="217" t="s">
        <v>22</v>
      </c>
      <c r="C38" s="169">
        <v>140480628.21000001</v>
      </c>
      <c r="D38" s="169">
        <v>20693557.400000002</v>
      </c>
      <c r="E38" s="169">
        <v>3882984.4800000018</v>
      </c>
      <c r="F38" s="169">
        <v>4489279.6199999992</v>
      </c>
      <c r="G38" s="169">
        <v>7358462.4199999999</v>
      </c>
      <c r="H38" s="169">
        <v>5360094.2700000005</v>
      </c>
      <c r="I38" s="169">
        <v>757046.71000000008</v>
      </c>
      <c r="J38" s="169">
        <v>3395703.040000001</v>
      </c>
      <c r="K38" s="169">
        <v>1067238.0000000002</v>
      </c>
      <c r="L38" s="218">
        <f t="shared" si="0"/>
        <v>187484994.15000001</v>
      </c>
    </row>
    <row r="39" spans="1:12">
      <c r="A39" s="248">
        <v>46</v>
      </c>
      <c r="B39" s="217" t="s">
        <v>137</v>
      </c>
      <c r="C39" s="169">
        <v>29619429.009999994</v>
      </c>
      <c r="D39" s="169">
        <v>4347708.3300000019</v>
      </c>
      <c r="E39" s="169">
        <v>16283639.169999998</v>
      </c>
      <c r="F39" s="169">
        <v>949880.02000000014</v>
      </c>
      <c r="G39" s="169">
        <v>1545395.4100000001</v>
      </c>
      <c r="H39" s="169">
        <v>1113409.92</v>
      </c>
      <c r="I39" s="169">
        <v>160695.80000000002</v>
      </c>
      <c r="J39" s="169">
        <v>322951.6700000001</v>
      </c>
      <c r="K39" s="169">
        <v>1085554.2300000002</v>
      </c>
      <c r="L39" s="218">
        <f t="shared" si="0"/>
        <v>55428663.559999995</v>
      </c>
    </row>
    <row r="40" spans="1:12">
      <c r="A40" s="248">
        <v>49</v>
      </c>
      <c r="B40" s="217" t="s">
        <v>23</v>
      </c>
      <c r="C40" s="169">
        <v>24612077.349999998</v>
      </c>
      <c r="D40" s="169">
        <v>3443106.0799999987</v>
      </c>
      <c r="E40" s="169">
        <v>6834843.7599999998</v>
      </c>
      <c r="F40" s="169">
        <v>826143.92</v>
      </c>
      <c r="G40" s="169">
        <v>1217058.51</v>
      </c>
      <c r="H40" s="169">
        <v>740854.05</v>
      </c>
      <c r="I40" s="169">
        <v>145398.63</v>
      </c>
      <c r="J40" s="169">
        <v>64853.990000000005</v>
      </c>
      <c r="K40" s="169">
        <v>13003.97</v>
      </c>
      <c r="L40" s="218">
        <f t="shared" si="0"/>
        <v>37897340.259999998</v>
      </c>
    </row>
    <row r="41" spans="1:12">
      <c r="A41" s="248">
        <v>48</v>
      </c>
      <c r="B41" s="217" t="s">
        <v>24</v>
      </c>
      <c r="C41" s="169">
        <v>32181130.319999993</v>
      </c>
      <c r="D41" s="169">
        <v>4791603.2699999996</v>
      </c>
      <c r="E41" s="169">
        <v>1379623.9300000004</v>
      </c>
      <c r="F41" s="169">
        <v>1017285.8199999994</v>
      </c>
      <c r="G41" s="169">
        <v>1705897.7699999993</v>
      </c>
      <c r="H41" s="169">
        <v>1283475.4199999997</v>
      </c>
      <c r="I41" s="169">
        <v>169843.54999999996</v>
      </c>
      <c r="J41" s="169">
        <v>435478.58999999997</v>
      </c>
      <c r="K41" s="169">
        <v>404.8300000000001</v>
      </c>
      <c r="L41" s="218">
        <f t="shared" si="0"/>
        <v>42964743.499999985</v>
      </c>
    </row>
    <row r="42" spans="1:12">
      <c r="A42" s="248">
        <v>47</v>
      </c>
      <c r="B42" s="217" t="s">
        <v>25</v>
      </c>
      <c r="C42" s="169">
        <v>43716195.080000006</v>
      </c>
      <c r="D42" s="169">
        <v>6487680.4500000011</v>
      </c>
      <c r="E42" s="169">
        <v>1965424.8200000008</v>
      </c>
      <c r="F42" s="169">
        <v>1386580.6000000003</v>
      </c>
      <c r="G42" s="169">
        <v>2308885.3800000004</v>
      </c>
      <c r="H42" s="169">
        <v>1720230.7800000005</v>
      </c>
      <c r="I42" s="169">
        <v>232222.75999999992</v>
      </c>
      <c r="J42" s="169">
        <v>445767.79999999987</v>
      </c>
      <c r="K42" s="169">
        <v>23578.62</v>
      </c>
      <c r="L42" s="218">
        <f t="shared" si="0"/>
        <v>58286566.290000007</v>
      </c>
    </row>
    <row r="43" spans="1:12">
      <c r="A43" s="248">
        <v>45</v>
      </c>
      <c r="B43" s="217" t="s">
        <v>26</v>
      </c>
      <c r="C43" s="169">
        <v>100755024.34</v>
      </c>
      <c r="D43" s="169">
        <v>14875986.559999999</v>
      </c>
      <c r="E43" s="169">
        <v>4606917.7899999991</v>
      </c>
      <c r="F43" s="169">
        <v>3212349.3100000005</v>
      </c>
      <c r="G43" s="169">
        <v>5291147.63</v>
      </c>
      <c r="H43" s="169">
        <v>3881546.9</v>
      </c>
      <c r="I43" s="169">
        <v>540571.05000000016</v>
      </c>
      <c r="J43" s="169">
        <v>2620194.2800000003</v>
      </c>
      <c r="K43" s="169">
        <v>3737732.88</v>
      </c>
      <c r="L43" s="218">
        <f t="shared" si="0"/>
        <v>139521470.73999998</v>
      </c>
    </row>
    <row r="44" spans="1:12">
      <c r="A44" s="248">
        <v>70</v>
      </c>
      <c r="B44" s="217" t="s">
        <v>27</v>
      </c>
      <c r="C44" s="169">
        <v>2330802951.8899994</v>
      </c>
      <c r="D44" s="169">
        <v>354718802.25000006</v>
      </c>
      <c r="E44" s="169">
        <v>0</v>
      </c>
      <c r="F44" s="169">
        <v>72012232.670000017</v>
      </c>
      <c r="G44" s="169">
        <v>126589485.20999995</v>
      </c>
      <c r="H44" s="169">
        <v>101300068.39</v>
      </c>
      <c r="I44" s="169">
        <v>11764258.399999995</v>
      </c>
      <c r="J44" s="169">
        <v>53746634.589999996</v>
      </c>
      <c r="K44" s="169">
        <v>78786988.099999994</v>
      </c>
      <c r="L44" s="218">
        <f t="shared" si="0"/>
        <v>3129721421.4999995</v>
      </c>
    </row>
    <row r="45" spans="1:12">
      <c r="A45" s="248">
        <v>50</v>
      </c>
      <c r="B45" s="217" t="s">
        <v>138</v>
      </c>
      <c r="C45" s="169">
        <v>13390702.619999999</v>
      </c>
      <c r="D45" s="169">
        <v>2076836.6200000006</v>
      </c>
      <c r="E45" s="169">
        <v>4709874.6899999995</v>
      </c>
      <c r="F45" s="169">
        <v>405257.18000000017</v>
      </c>
      <c r="G45" s="169">
        <v>742671.37999999977</v>
      </c>
      <c r="H45" s="169">
        <v>624302.66999999981</v>
      </c>
      <c r="I45" s="169">
        <v>64861.439999999981</v>
      </c>
      <c r="J45" s="169">
        <v>164195.26</v>
      </c>
      <c r="K45" s="169">
        <v>32747.55999999999</v>
      </c>
      <c r="L45" s="218">
        <f t="shared" si="0"/>
        <v>22211449.419999998</v>
      </c>
    </row>
    <row r="46" spans="1:12">
      <c r="A46" s="248">
        <v>51</v>
      </c>
      <c r="B46" s="217" t="s">
        <v>139</v>
      </c>
      <c r="C46" s="169">
        <v>69406042.350000009</v>
      </c>
      <c r="D46" s="169">
        <v>11246949.210000003</v>
      </c>
      <c r="E46" s="169">
        <v>5283888.1000000015</v>
      </c>
      <c r="F46" s="169">
        <v>1995702.7199999995</v>
      </c>
      <c r="G46" s="169">
        <v>4040173.1600000006</v>
      </c>
      <c r="H46" s="169">
        <v>3760148.8999999994</v>
      </c>
      <c r="I46" s="169">
        <v>302425.66000000015</v>
      </c>
      <c r="J46" s="169">
        <v>4977701.9500000011</v>
      </c>
      <c r="K46" s="169">
        <v>6373621.9599999981</v>
      </c>
      <c r="L46" s="218">
        <f t="shared" si="0"/>
        <v>107386654.01000002</v>
      </c>
    </row>
    <row r="47" spans="1:12">
      <c r="A47" s="248">
        <v>52</v>
      </c>
      <c r="B47" s="217" t="s">
        <v>140</v>
      </c>
      <c r="C47" s="169">
        <v>23591242.109999999</v>
      </c>
      <c r="D47" s="169">
        <v>3515481.2899999991</v>
      </c>
      <c r="E47" s="169">
        <v>6938038.3200000012</v>
      </c>
      <c r="F47" s="169">
        <v>745125.60000000033</v>
      </c>
      <c r="G47" s="169">
        <v>1251688.47</v>
      </c>
      <c r="H47" s="169">
        <v>944003.06999999983</v>
      </c>
      <c r="I47" s="169">
        <v>124307.69000000003</v>
      </c>
      <c r="J47" s="169">
        <v>311698.06</v>
      </c>
      <c r="K47" s="169">
        <v>104948.93999999996</v>
      </c>
      <c r="L47" s="218">
        <f t="shared" si="0"/>
        <v>37526533.549999997</v>
      </c>
    </row>
    <row r="48" spans="1:12">
      <c r="A48" s="248">
        <v>53</v>
      </c>
      <c r="B48" s="217" t="s">
        <v>28</v>
      </c>
      <c r="C48" s="169">
        <v>25408176.810000006</v>
      </c>
      <c r="D48" s="169">
        <v>3743358.0699999989</v>
      </c>
      <c r="E48" s="169">
        <v>2853737.2899999991</v>
      </c>
      <c r="F48" s="169">
        <v>811828.75000000035</v>
      </c>
      <c r="G48" s="169">
        <v>1331131.7899999998</v>
      </c>
      <c r="H48" s="169">
        <v>970106.93000000028</v>
      </c>
      <c r="I48" s="169">
        <v>136882.25999999995</v>
      </c>
      <c r="J48" s="169">
        <v>220000.40000000002</v>
      </c>
      <c r="K48" s="169">
        <v>7179.3900000000012</v>
      </c>
      <c r="L48" s="218">
        <f t="shared" si="0"/>
        <v>35482401.690000005</v>
      </c>
    </row>
    <row r="49" spans="1:12">
      <c r="A49" s="248">
        <v>54</v>
      </c>
      <c r="B49" s="217" t="s">
        <v>29</v>
      </c>
      <c r="C49" s="169">
        <v>71606639.950000018</v>
      </c>
      <c r="D49" s="169">
        <v>10484750.020000003</v>
      </c>
      <c r="E49" s="169">
        <v>5594851.379999998</v>
      </c>
      <c r="F49" s="169">
        <v>2302054.9200000004</v>
      </c>
      <c r="G49" s="169">
        <v>3725765.4400000009</v>
      </c>
      <c r="H49" s="169">
        <v>2663385.6400000006</v>
      </c>
      <c r="I49" s="169">
        <v>390316.42</v>
      </c>
      <c r="J49" s="169">
        <v>1472034.0000000002</v>
      </c>
      <c r="K49" s="169">
        <v>314205.09000000008</v>
      </c>
      <c r="L49" s="218">
        <f t="shared" si="0"/>
        <v>98554002.860000029</v>
      </c>
    </row>
    <row r="50" spans="1:12">
      <c r="A50" s="248">
        <v>55</v>
      </c>
      <c r="B50" s="217" t="s">
        <v>30</v>
      </c>
      <c r="C50" s="169">
        <v>78576151.979999989</v>
      </c>
      <c r="D50" s="169">
        <v>12239870.320000006</v>
      </c>
      <c r="E50" s="169">
        <v>10631287.939999999</v>
      </c>
      <c r="F50" s="169">
        <v>2366504.3299999996</v>
      </c>
      <c r="G50" s="169">
        <v>4378958.379999999</v>
      </c>
      <c r="H50" s="169">
        <v>3721063.8799999994</v>
      </c>
      <c r="I50" s="169">
        <v>376890.70000000007</v>
      </c>
      <c r="J50" s="169">
        <v>3085753.94</v>
      </c>
      <c r="K50" s="169">
        <v>6780682.7400000021</v>
      </c>
      <c r="L50" s="218">
        <f t="shared" si="0"/>
        <v>122157164.20999998</v>
      </c>
    </row>
    <row r="51" spans="1:12">
      <c r="A51" s="248">
        <v>58</v>
      </c>
      <c r="B51" s="217" t="s">
        <v>141</v>
      </c>
      <c r="C51" s="169">
        <v>614903881.96999979</v>
      </c>
      <c r="D51" s="169">
        <v>92575647.310000002</v>
      </c>
      <c r="E51" s="169">
        <v>17772215.849999998</v>
      </c>
      <c r="F51" s="169">
        <v>19216347.510000002</v>
      </c>
      <c r="G51" s="169">
        <v>32998889.780000009</v>
      </c>
      <c r="H51" s="169">
        <v>25632348.520000003</v>
      </c>
      <c r="I51" s="169">
        <v>3173938.6900000018</v>
      </c>
      <c r="J51" s="169">
        <v>17888083.430000003</v>
      </c>
      <c r="K51" s="169">
        <v>11635811.209999997</v>
      </c>
      <c r="L51" s="218">
        <f t="shared" si="0"/>
        <v>835797164.26999974</v>
      </c>
    </row>
    <row r="52" spans="1:12">
      <c r="A52" s="248">
        <v>31</v>
      </c>
      <c r="B52" s="217" t="s">
        <v>142</v>
      </c>
      <c r="C52" s="169">
        <v>1220985551.2000003</v>
      </c>
      <c r="D52" s="169">
        <v>185142685.20000005</v>
      </c>
      <c r="E52" s="169">
        <v>35476883.559999995</v>
      </c>
      <c r="F52" s="169">
        <v>37870288.080000006</v>
      </c>
      <c r="G52" s="169">
        <v>66046262.940000027</v>
      </c>
      <c r="H52" s="169">
        <v>52331173.31000001</v>
      </c>
      <c r="I52" s="169">
        <v>6209984</v>
      </c>
      <c r="J52" s="169">
        <v>13824266.27</v>
      </c>
      <c r="K52" s="169">
        <v>49184615.650000006</v>
      </c>
      <c r="L52" s="218">
        <f t="shared" si="0"/>
        <v>1667071710.2100003</v>
      </c>
    </row>
    <row r="53" spans="1:12">
      <c r="A53" s="248">
        <v>57</v>
      </c>
      <c r="B53" s="217" t="s">
        <v>31</v>
      </c>
      <c r="C53" s="169">
        <v>357376421.41000015</v>
      </c>
      <c r="D53" s="169">
        <v>55299615.599999987</v>
      </c>
      <c r="E53" s="169">
        <v>19247844.93</v>
      </c>
      <c r="F53" s="169">
        <v>10843439.519999998</v>
      </c>
      <c r="G53" s="169">
        <v>19770151.639999997</v>
      </c>
      <c r="H53" s="169">
        <v>16522702.919999996</v>
      </c>
      <c r="I53" s="169">
        <v>1739996.4</v>
      </c>
      <c r="J53" s="169">
        <v>13035517.000000004</v>
      </c>
      <c r="K53" s="169">
        <v>19295554.059999995</v>
      </c>
      <c r="L53" s="218">
        <f t="shared" si="0"/>
        <v>513131243.48000008</v>
      </c>
    </row>
    <row r="54" spans="1:12">
      <c r="A54" s="248">
        <v>56</v>
      </c>
      <c r="B54" s="217" t="s">
        <v>32</v>
      </c>
      <c r="C54" s="169">
        <v>115492033.63</v>
      </c>
      <c r="D54" s="169">
        <v>17866905.100000001</v>
      </c>
      <c r="E54" s="169">
        <v>10473136.07</v>
      </c>
      <c r="F54" s="169">
        <v>3505118.9899999998</v>
      </c>
      <c r="G54" s="169">
        <v>6387437.9899999984</v>
      </c>
      <c r="H54" s="169">
        <v>5335158.24</v>
      </c>
      <c r="I54" s="169">
        <v>562593.12999999989</v>
      </c>
      <c r="J54" s="169">
        <v>2553155.3099999991</v>
      </c>
      <c r="K54" s="169">
        <v>12577383.65</v>
      </c>
      <c r="L54" s="218">
        <f t="shared" si="0"/>
        <v>174752922.11000001</v>
      </c>
    </row>
    <row r="55" spans="1:12">
      <c r="A55" s="248">
        <v>59</v>
      </c>
      <c r="B55" s="217" t="s">
        <v>33</v>
      </c>
      <c r="C55" s="169">
        <v>22649006.429999996</v>
      </c>
      <c r="D55" s="169">
        <v>3481849.9800000004</v>
      </c>
      <c r="E55" s="169">
        <v>4892617.8500000015</v>
      </c>
      <c r="F55" s="169">
        <v>692166.19000000018</v>
      </c>
      <c r="G55" s="169">
        <v>1243928.43</v>
      </c>
      <c r="H55" s="169">
        <v>1022352.1200000002</v>
      </c>
      <c r="I55" s="169">
        <v>111869.73999999998</v>
      </c>
      <c r="J55" s="169">
        <v>261648.30999999997</v>
      </c>
      <c r="K55" s="169">
        <v>205082.79000000007</v>
      </c>
      <c r="L55" s="218">
        <f t="shared" si="0"/>
        <v>34560521.840000004</v>
      </c>
    </row>
    <row r="56" spans="1:12" ht="13.5" thickBot="1">
      <c r="A56" s="248">
        <v>60</v>
      </c>
      <c r="B56" s="217" t="s">
        <v>34</v>
      </c>
      <c r="C56" s="169">
        <v>27341201.699999988</v>
      </c>
      <c r="D56" s="169">
        <v>4079788.9899999993</v>
      </c>
      <c r="E56" s="169">
        <v>6755414.25</v>
      </c>
      <c r="F56" s="169">
        <v>862372.03999999969</v>
      </c>
      <c r="G56" s="169">
        <v>1452827.6199999999</v>
      </c>
      <c r="H56" s="169">
        <v>1100037.8599999999</v>
      </c>
      <c r="I56" s="169">
        <v>143681.94999999995</v>
      </c>
      <c r="J56" s="169">
        <v>302870.37000000011</v>
      </c>
      <c r="K56" s="169">
        <v>22123.61</v>
      </c>
      <c r="L56" s="218">
        <f t="shared" si="0"/>
        <v>42060318.389999978</v>
      </c>
    </row>
    <row r="57" spans="1:12" ht="14.25" thickTop="1" thickBot="1">
      <c r="B57" s="219" t="s">
        <v>35</v>
      </c>
      <c r="C57" s="289">
        <f t="shared" ref="C57:K57" si="1">SUM(C6:C56)</f>
        <v>8897141361.2799988</v>
      </c>
      <c r="D57" s="289">
        <f t="shared" si="1"/>
        <v>1354779697.5000002</v>
      </c>
      <c r="E57" s="289">
        <f t="shared" si="1"/>
        <v>414389890.89000005</v>
      </c>
      <c r="F57" s="289">
        <f t="shared" si="1"/>
        <v>274722797.48000002</v>
      </c>
      <c r="G57" s="289">
        <f t="shared" si="1"/>
        <v>483512866.56000012</v>
      </c>
      <c r="H57" s="289">
        <f t="shared" si="1"/>
        <v>387494563.70000005</v>
      </c>
      <c r="I57" s="289">
        <f t="shared" si="1"/>
        <v>44854244.270000011</v>
      </c>
      <c r="J57" s="289">
        <f t="shared" si="1"/>
        <v>247525959.28999999</v>
      </c>
      <c r="K57" s="289">
        <f t="shared" si="1"/>
        <v>316787550.41000003</v>
      </c>
      <c r="L57" s="227">
        <f>SUM(L6:L56)</f>
        <v>12421208931.380001</v>
      </c>
    </row>
    <row r="58" spans="1:12" ht="16.5" customHeight="1">
      <c r="B58" s="94" t="s">
        <v>151</v>
      </c>
      <c r="C58" s="172"/>
      <c r="D58" s="175"/>
      <c r="E58" s="175"/>
      <c r="F58" s="154"/>
      <c r="K58" s="169"/>
    </row>
    <row r="59" spans="1:12">
      <c r="B59" s="99"/>
      <c r="C59" s="173"/>
    </row>
    <row r="60" spans="1:12">
      <c r="B60" s="99"/>
      <c r="C60" s="173"/>
    </row>
    <row r="61" spans="1:12" ht="16.5" customHeight="1"/>
  </sheetData>
  <mergeCells count="4">
    <mergeCell ref="B1:L1"/>
    <mergeCell ref="B2:L2"/>
    <mergeCell ref="B3:L3"/>
    <mergeCell ref="B4:L4"/>
  </mergeCells>
  <printOptions horizontalCentered="1"/>
  <pageMargins left="0.19685039370078741" right="0.19685039370078741" top="0.35433070866141736" bottom="0.15748031496062992" header="0.35433070866141736" footer="0.15748031496062992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7"/>
  <sheetViews>
    <sheetView showGridLines="0" workbookViewId="0"/>
  </sheetViews>
  <sheetFormatPr baseColWidth="10" defaultColWidth="9.7109375" defaultRowHeight="12.75"/>
  <cols>
    <col min="1" max="1" width="3" style="11" bestFit="1" customWidth="1"/>
    <col min="2" max="2" width="28.85546875" style="11" customWidth="1"/>
    <col min="3" max="7" width="15.7109375" style="11" customWidth="1"/>
    <col min="8" max="8" width="12.42578125" style="11" customWidth="1"/>
    <col min="9" max="9" width="15.42578125" style="11" customWidth="1"/>
    <col min="10" max="10" width="12.5703125" style="48" customWidth="1"/>
    <col min="11" max="11" width="12.28515625" style="11" customWidth="1"/>
    <col min="12" max="12" width="15.5703125" style="11" customWidth="1"/>
    <col min="13" max="13" width="12" style="48" customWidth="1"/>
    <col min="14" max="14" width="17.7109375" style="50" customWidth="1"/>
    <col min="15" max="15" width="18" style="11" customWidth="1"/>
    <col min="16" max="16" width="16.140625" style="11" customWidth="1"/>
    <col min="17" max="17" width="14.140625" style="11" customWidth="1"/>
    <col min="18" max="18" width="15.5703125" style="11" customWidth="1"/>
    <col min="19" max="19" width="16.140625" style="11" customWidth="1"/>
    <col min="20" max="20" width="13.140625" style="11" customWidth="1"/>
    <col min="21" max="21" width="14" style="11" customWidth="1"/>
    <col min="22" max="22" width="12.85546875" style="11" customWidth="1"/>
    <col min="23" max="23" width="14.42578125" style="11" customWidth="1"/>
    <col min="24" max="24" width="16.85546875" style="11" customWidth="1"/>
    <col min="25" max="25" width="14.140625" style="48" customWidth="1"/>
    <col min="26" max="26" width="18.42578125" style="11" bestFit="1" customWidth="1"/>
    <col min="27" max="27" width="3.7109375" style="11" customWidth="1"/>
    <col min="28" max="30" width="18.42578125" style="11" customWidth="1"/>
    <col min="31" max="31" width="20.140625" style="11" customWidth="1"/>
    <col min="32" max="32" width="16.140625" style="11" bestFit="1" customWidth="1"/>
    <col min="33" max="33" width="13.140625" style="231" bestFit="1" customWidth="1"/>
    <col min="34" max="34" width="13" style="11" customWidth="1"/>
    <col min="35" max="16384" width="9.7109375" style="11"/>
  </cols>
  <sheetData>
    <row r="1" spans="1:34" ht="33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4" ht="26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4" ht="18.75" thickBot="1">
      <c r="C3" s="294" t="s">
        <v>80</v>
      </c>
      <c r="D3" s="294"/>
      <c r="E3" s="294"/>
      <c r="F3" s="294"/>
      <c r="G3" s="294"/>
      <c r="H3" s="295" t="s">
        <v>43</v>
      </c>
      <c r="I3" s="295"/>
      <c r="J3" s="295"/>
      <c r="K3" s="295"/>
      <c r="L3" s="295"/>
      <c r="M3" s="295"/>
      <c r="N3" s="295"/>
      <c r="O3" s="295" t="s">
        <v>70</v>
      </c>
      <c r="P3" s="295"/>
      <c r="Q3" s="295"/>
      <c r="R3" s="295"/>
      <c r="S3" s="295"/>
      <c r="T3" s="295"/>
      <c r="U3" s="295"/>
      <c r="V3" s="295"/>
      <c r="W3" s="84"/>
      <c r="X3" s="295"/>
      <c r="Y3" s="295"/>
      <c r="Z3" s="183" t="s">
        <v>70</v>
      </c>
      <c r="AB3" s="294" t="s">
        <v>92</v>
      </c>
      <c r="AC3" s="294"/>
      <c r="AD3" s="294"/>
      <c r="AE3" s="294"/>
      <c r="AF3" s="294"/>
    </row>
    <row r="4" spans="1:34" ht="64.5" thickBot="1">
      <c r="B4" s="8" t="s">
        <v>0</v>
      </c>
      <c r="C4" s="8" t="s">
        <v>208</v>
      </c>
      <c r="D4" s="8" t="s">
        <v>199</v>
      </c>
      <c r="E4" s="9" t="s">
        <v>90</v>
      </c>
      <c r="F4" s="12" t="s">
        <v>91</v>
      </c>
      <c r="G4" s="81" t="s">
        <v>60</v>
      </c>
      <c r="H4" s="8" t="s">
        <v>146</v>
      </c>
      <c r="I4" s="9" t="s">
        <v>56</v>
      </c>
      <c r="J4" s="10">
        <v>0.85</v>
      </c>
      <c r="K4" s="8" t="s">
        <v>41</v>
      </c>
      <c r="L4" s="9" t="s">
        <v>57</v>
      </c>
      <c r="M4" s="10">
        <v>0.15</v>
      </c>
      <c r="N4" s="76" t="s">
        <v>58</v>
      </c>
      <c r="O4" s="184" t="s">
        <v>188</v>
      </c>
      <c r="P4" s="184" t="s">
        <v>189</v>
      </c>
      <c r="Q4" s="184" t="s">
        <v>194</v>
      </c>
      <c r="R4" s="8" t="s">
        <v>193</v>
      </c>
      <c r="S4" s="185" t="s">
        <v>160</v>
      </c>
      <c r="T4" s="185" t="s">
        <v>161</v>
      </c>
      <c r="U4" s="8" t="s">
        <v>162</v>
      </c>
      <c r="V4" s="184" t="s">
        <v>163</v>
      </c>
      <c r="W4" s="186" t="s">
        <v>164</v>
      </c>
      <c r="X4" s="185" t="s">
        <v>165</v>
      </c>
      <c r="Y4" s="8" t="s">
        <v>166</v>
      </c>
      <c r="Z4" s="187" t="s">
        <v>59</v>
      </c>
      <c r="AB4" s="83" t="s">
        <v>73</v>
      </c>
      <c r="AC4" s="83" t="s">
        <v>71</v>
      </c>
      <c r="AD4" s="83" t="s">
        <v>72</v>
      </c>
      <c r="AE4" s="83" t="s">
        <v>210</v>
      </c>
      <c r="AF4" s="83" t="s">
        <v>61</v>
      </c>
    </row>
    <row r="5" spans="1:34" s="14" customFormat="1" ht="22.5">
      <c r="B5" s="20"/>
      <c r="C5" s="66" t="s">
        <v>126</v>
      </c>
      <c r="D5" s="59" t="s">
        <v>127</v>
      </c>
      <c r="E5" s="59" t="s">
        <v>37</v>
      </c>
      <c r="F5" s="59" t="s">
        <v>38</v>
      </c>
      <c r="G5" s="67" t="s">
        <v>51</v>
      </c>
      <c r="H5" s="20" t="s">
        <v>40</v>
      </c>
      <c r="I5" s="59" t="s">
        <v>49</v>
      </c>
      <c r="J5" s="63" t="s">
        <v>52</v>
      </c>
      <c r="K5" s="13" t="s">
        <v>42</v>
      </c>
      <c r="L5" s="59" t="s">
        <v>53</v>
      </c>
      <c r="M5" s="63" t="s">
        <v>54</v>
      </c>
      <c r="N5" s="64" t="s">
        <v>44</v>
      </c>
      <c r="O5" s="13" t="s">
        <v>167</v>
      </c>
      <c r="P5" s="13" t="s">
        <v>168</v>
      </c>
      <c r="Q5" s="13" t="s">
        <v>169</v>
      </c>
      <c r="R5" s="13" t="s">
        <v>170</v>
      </c>
      <c r="S5" s="20" t="s">
        <v>171</v>
      </c>
      <c r="T5" s="20" t="s">
        <v>172</v>
      </c>
      <c r="U5" s="13" t="s">
        <v>173</v>
      </c>
      <c r="V5" s="13" t="s">
        <v>174</v>
      </c>
      <c r="W5" s="13" t="s">
        <v>175</v>
      </c>
      <c r="X5" s="13" t="s">
        <v>176</v>
      </c>
      <c r="Y5" s="59" t="s">
        <v>177</v>
      </c>
      <c r="Z5" s="208" t="s">
        <v>178</v>
      </c>
      <c r="AB5" s="13">
        <f>+AE5*0.5</f>
        <v>1577062522.9399998</v>
      </c>
      <c r="AC5" s="13">
        <f>+AE5*0.25</f>
        <v>788531261.46999991</v>
      </c>
      <c r="AD5" s="13">
        <f>+AE5*0.25</f>
        <v>788531261.46999991</v>
      </c>
      <c r="AE5" s="13">
        <f>+'PART 2023'!G10</f>
        <v>3154125045.8799996</v>
      </c>
      <c r="AG5" s="232"/>
    </row>
    <row r="6" spans="1:34" s="16" customFormat="1" ht="23.25" customHeight="1" thickBot="1">
      <c r="B6" s="15"/>
      <c r="G6" s="19"/>
      <c r="H6" s="15"/>
      <c r="J6" s="17"/>
      <c r="M6" s="17"/>
      <c r="N6" s="18"/>
      <c r="O6" s="188"/>
      <c r="P6" s="188"/>
      <c r="Q6" s="188"/>
      <c r="R6" s="188"/>
      <c r="S6" s="189"/>
      <c r="T6" s="189"/>
      <c r="U6" s="188"/>
      <c r="V6" s="188"/>
      <c r="W6" s="188"/>
      <c r="X6" s="190"/>
      <c r="Y6" s="11"/>
      <c r="Z6" s="191"/>
      <c r="AB6" s="13" t="s">
        <v>81</v>
      </c>
      <c r="AC6" s="13" t="s">
        <v>82</v>
      </c>
      <c r="AD6" s="13" t="s">
        <v>48</v>
      </c>
      <c r="AE6" s="20" t="s">
        <v>83</v>
      </c>
      <c r="AF6" s="20" t="s">
        <v>46</v>
      </c>
      <c r="AG6" s="233"/>
    </row>
    <row r="7" spans="1:34" ht="13.5" thickTop="1">
      <c r="A7" s="248">
        <v>15</v>
      </c>
      <c r="B7" s="2" t="s">
        <v>1</v>
      </c>
      <c r="C7" s="23">
        <v>685947</v>
      </c>
      <c r="D7" s="23">
        <v>215240.1</v>
      </c>
      <c r="E7" s="25">
        <f t="shared" ref="E7:E38" si="0">+D7/C7</f>
        <v>0.31378532160647982</v>
      </c>
      <c r="F7" s="26">
        <f>+E7*D7</f>
        <v>67539.184001110872</v>
      </c>
      <c r="G7" s="77">
        <f t="shared" ref="G7:G38" si="1">+F7/F$58</f>
        <v>2.6513843532537862E-5</v>
      </c>
      <c r="H7" s="21">
        <v>2974</v>
      </c>
      <c r="I7" s="71">
        <f t="shared" ref="I7:I38" si="2">+H7/$H$58</f>
        <v>5.141377508841821E-4</v>
      </c>
      <c r="J7" s="22">
        <f>+I7*J$4</f>
        <v>4.3701708825155477E-4</v>
      </c>
      <c r="K7" s="23">
        <v>46.9</v>
      </c>
      <c r="L7" s="68">
        <f t="shared" ref="L7:L38" si="3">+K7/$K$58</f>
        <v>7.3102605507790314E-4</v>
      </c>
      <c r="M7" s="24">
        <f>+L7*M$4</f>
        <v>1.0965390826168547E-4</v>
      </c>
      <c r="N7" s="77">
        <f>+M7+J7</f>
        <v>5.4667099651324028E-4</v>
      </c>
      <c r="O7" s="192">
        <v>296</v>
      </c>
      <c r="P7" s="192">
        <v>291</v>
      </c>
      <c r="Q7" s="193">
        <v>1.7570912812999999</v>
      </c>
      <c r="R7" s="194">
        <f>+P7/P$58</f>
        <v>2.7055597858981759E-4</v>
      </c>
      <c r="S7" s="195">
        <f t="shared" ref="S7:S57" si="4">+Q7*R7</f>
        <v>4.7539155108375792E-4</v>
      </c>
      <c r="T7" s="195">
        <f>+S7/S$58</f>
        <v>2.4656536212427173E-4</v>
      </c>
      <c r="U7" s="192">
        <f>+AD$5*0.85*T7</f>
        <v>165260.82162606041</v>
      </c>
      <c r="V7" s="194">
        <f t="shared" ref="V7:V57" si="5">+O7/P7</f>
        <v>1.0171821305841924</v>
      </c>
      <c r="W7" s="194">
        <f>+V7/V$58</f>
        <v>1.351657209931304E-2</v>
      </c>
      <c r="X7" s="192">
        <f>AD$5*0.15*W7</f>
        <v>1598735.9472332273</v>
      </c>
      <c r="Y7" s="23">
        <f t="shared" ref="Y7:Y57" si="6">+X7+U7</f>
        <v>1763996.7688592877</v>
      </c>
      <c r="Z7" s="196">
        <f>+Y7/Y$58</f>
        <v>2.2370663727025869E-3</v>
      </c>
      <c r="AB7" s="27">
        <f t="shared" ref="AB7:AB38" si="7">+G7*AB$5</f>
        <v>41813.988974260559</v>
      </c>
      <c r="AC7" s="28">
        <f t="shared" ref="AC7:AC38" si="8">+N7*AC$5</f>
        <v>431067.17048964725</v>
      </c>
      <c r="AD7" s="28">
        <f>+Z7*AD$5</f>
        <v>1763996.7688592877</v>
      </c>
      <c r="AE7" s="28">
        <f>SUM(AB7:AD7)</f>
        <v>2236877.9283231953</v>
      </c>
      <c r="AF7" s="29">
        <f>+AE7/AE$58</f>
        <v>7.091912640702254E-4</v>
      </c>
      <c r="AH7" s="230"/>
    </row>
    <row r="8" spans="1:34">
      <c r="A8" s="248">
        <v>11</v>
      </c>
      <c r="B8" s="4" t="s">
        <v>2</v>
      </c>
      <c r="C8" s="32">
        <v>2702829</v>
      </c>
      <c r="D8" s="32">
        <v>825718</v>
      </c>
      <c r="E8" s="34">
        <f t="shared" si="0"/>
        <v>0.30550138392032938</v>
      </c>
      <c r="F8" s="35">
        <f t="shared" ref="F8:F57" si="9">+E8*D8</f>
        <v>252257.99172792654</v>
      </c>
      <c r="G8" s="78">
        <f t="shared" si="1"/>
        <v>9.9028867781352908E-5</v>
      </c>
      <c r="H8" s="30">
        <v>3382</v>
      </c>
      <c r="I8" s="72">
        <f t="shared" si="2"/>
        <v>5.8467177992276519E-4</v>
      </c>
      <c r="J8" s="31">
        <f t="shared" ref="J8:J57" si="10">+I8*J$4</f>
        <v>4.9697101293435045E-4</v>
      </c>
      <c r="K8" s="32">
        <v>980.9</v>
      </c>
      <c r="L8" s="69">
        <f t="shared" si="3"/>
        <v>1.528919951867623E-2</v>
      </c>
      <c r="M8" s="33">
        <f t="shared" ref="M8:M57" si="11">+L8*M$4</f>
        <v>2.2933799278014345E-3</v>
      </c>
      <c r="N8" s="78">
        <f t="shared" ref="N8:N57" si="12">+M8+J8</f>
        <v>2.7903509407357849E-3</v>
      </c>
      <c r="O8" s="197">
        <v>250</v>
      </c>
      <c r="P8" s="197">
        <v>278</v>
      </c>
      <c r="Q8" s="198">
        <v>1.7189329948000001</v>
      </c>
      <c r="R8" s="199">
        <f t="shared" ref="R8:R57" si="13">+P8/P$58</f>
        <v>2.5846928538821062E-4</v>
      </c>
      <c r="S8" s="200">
        <f t="shared" si="4"/>
        <v>4.4429138279617278E-4</v>
      </c>
      <c r="T8" s="200">
        <f t="shared" ref="T8:T57" si="14">+S8/S$58</f>
        <v>2.3043502863712235E-4</v>
      </c>
      <c r="U8" s="197">
        <f t="shared" ref="U8:U57" si="15">+AD$5*0.85*T8</f>
        <v>154449.44024538979</v>
      </c>
      <c r="V8" s="199">
        <f t="shared" si="5"/>
        <v>0.89928057553956831</v>
      </c>
      <c r="W8" s="199">
        <f t="shared" ref="W8:W57" si="16">+V8/V$58</f>
        <v>1.1949866568941082E-2</v>
      </c>
      <c r="X8" s="197">
        <f t="shared" ref="X8:X57" si="17">AD$5*0.15*W8</f>
        <v>1413426.5040007934</v>
      </c>
      <c r="Y8" s="32">
        <f t="shared" si="6"/>
        <v>1567875.9442461831</v>
      </c>
      <c r="Z8" s="201">
        <f t="shared" ref="Z8:Z57" si="18">+Y8/Y$58</f>
        <v>1.9883497596827164E-3</v>
      </c>
      <c r="AB8" s="36">
        <f t="shared" si="7"/>
        <v>156174.71606715207</v>
      </c>
      <c r="AC8" s="37">
        <f t="shared" si="8"/>
        <v>2200278.9472423894</v>
      </c>
      <c r="AD8" s="37">
        <f t="shared" ref="AD8:AD57" si="19">+Z8*AD$5</f>
        <v>1567875.9442461836</v>
      </c>
      <c r="AE8" s="37">
        <f t="shared" ref="AE8:AE57" si="20">SUM(AB8:AD8)</f>
        <v>3924329.6075557251</v>
      </c>
      <c r="AF8" s="38">
        <f t="shared" ref="AF8:AF57" si="21">+AE8/AE$58</f>
        <v>1.2441896089953014E-3</v>
      </c>
      <c r="AH8" s="230"/>
    </row>
    <row r="9" spans="1:34">
      <c r="A9" s="248">
        <v>12</v>
      </c>
      <c r="B9" s="4" t="s">
        <v>143</v>
      </c>
      <c r="C9" s="32">
        <v>1181103</v>
      </c>
      <c r="D9" s="32">
        <v>291226</v>
      </c>
      <c r="E9" s="34">
        <f t="shared" si="0"/>
        <v>0.24657121351821137</v>
      </c>
      <c r="F9" s="35">
        <f t="shared" si="9"/>
        <v>71807.948228054622</v>
      </c>
      <c r="G9" s="78">
        <f t="shared" si="1"/>
        <v>2.8189631424624623E-5</v>
      </c>
      <c r="H9" s="30">
        <v>1407</v>
      </c>
      <c r="I9" s="72">
        <f t="shared" si="2"/>
        <v>2.4323867366981983E-4</v>
      </c>
      <c r="J9" s="31">
        <f t="shared" si="10"/>
        <v>2.0675287261934686E-4</v>
      </c>
      <c r="K9" s="32">
        <v>694.5</v>
      </c>
      <c r="L9" s="69">
        <f t="shared" si="3"/>
        <v>1.0825108640759142E-2</v>
      </c>
      <c r="M9" s="33">
        <f t="shared" si="11"/>
        <v>1.6237662961138713E-3</v>
      </c>
      <c r="N9" s="78">
        <f t="shared" si="12"/>
        <v>1.8305191687332182E-3</v>
      </c>
      <c r="O9" s="197">
        <v>366</v>
      </c>
      <c r="P9" s="197">
        <v>167</v>
      </c>
      <c r="Q9" s="198">
        <v>1.7050555638</v>
      </c>
      <c r="R9" s="199">
        <f t="shared" si="13"/>
        <v>1.5526752035910496E-4</v>
      </c>
      <c r="S9" s="200">
        <f t="shared" si="4"/>
        <v>2.6473974946572169E-4</v>
      </c>
      <c r="T9" s="200">
        <f t="shared" si="14"/>
        <v>1.3730923918798022E-4</v>
      </c>
      <c r="U9" s="197">
        <f t="shared" si="15"/>
        <v>92031.733450126398</v>
      </c>
      <c r="V9" s="199">
        <f t="shared" si="5"/>
        <v>2.191616766467066</v>
      </c>
      <c r="W9" s="199">
        <f t="shared" si="16"/>
        <v>2.9122755057643529E-2</v>
      </c>
      <c r="X9" s="197">
        <f t="shared" si="17"/>
        <v>3444630.4174628207</v>
      </c>
      <c r="Y9" s="32">
        <f t="shared" si="6"/>
        <v>3536662.150912947</v>
      </c>
      <c r="Z9" s="201">
        <f t="shared" si="18"/>
        <v>4.485126111956313E-3</v>
      </c>
      <c r="AB9" s="36">
        <f t="shared" si="7"/>
        <v>44456.81125526721</v>
      </c>
      <c r="AC9" s="37">
        <f t="shared" si="8"/>
        <v>1443421.5892662201</v>
      </c>
      <c r="AD9" s="37">
        <f t="shared" si="19"/>
        <v>3536662.1509129475</v>
      </c>
      <c r="AE9" s="37">
        <f t="shared" si="20"/>
        <v>5024540.551434435</v>
      </c>
      <c r="AF9" s="38">
        <f t="shared" si="21"/>
        <v>1.5930061358846947E-3</v>
      </c>
      <c r="AH9" s="230"/>
    </row>
    <row r="10" spans="1:34" ht="13.5" customHeight="1">
      <c r="A10" s="248">
        <v>13</v>
      </c>
      <c r="B10" s="4" t="s">
        <v>3</v>
      </c>
      <c r="C10" s="32">
        <v>56374737</v>
      </c>
      <c r="D10" s="32">
        <v>25827964</v>
      </c>
      <c r="E10" s="34">
        <f t="shared" si="0"/>
        <v>0.45814784022850519</v>
      </c>
      <c r="F10" s="35">
        <f t="shared" si="9"/>
        <v>11833025.924099583</v>
      </c>
      <c r="G10" s="78">
        <f t="shared" si="1"/>
        <v>4.6452885463182424E-3</v>
      </c>
      <c r="H10" s="30">
        <v>35289</v>
      </c>
      <c r="I10" s="72">
        <f t="shared" si="2"/>
        <v>6.1006748792709828E-3</v>
      </c>
      <c r="J10" s="31">
        <f t="shared" si="10"/>
        <v>5.1855736473803348E-3</v>
      </c>
      <c r="K10" s="32">
        <v>190.5</v>
      </c>
      <c r="L10" s="69">
        <f t="shared" si="3"/>
        <v>2.9693062578324213E-3</v>
      </c>
      <c r="M10" s="33">
        <f t="shared" si="11"/>
        <v>4.4539593867486317E-4</v>
      </c>
      <c r="N10" s="78">
        <f t="shared" si="12"/>
        <v>5.6309695860551979E-3</v>
      </c>
      <c r="O10" s="197">
        <v>6372</v>
      </c>
      <c r="P10" s="197">
        <v>6876</v>
      </c>
      <c r="Q10" s="198">
        <v>1.5964581414000001</v>
      </c>
      <c r="R10" s="199">
        <f t="shared" si="13"/>
        <v>6.3929309580191959E-3</v>
      </c>
      <c r="S10" s="200">
        <f t="shared" si="4"/>
        <v>1.0206046675337848E-2</v>
      </c>
      <c r="T10" s="200">
        <f t="shared" si="14"/>
        <v>5.2934419819306551E-3</v>
      </c>
      <c r="U10" s="197">
        <f t="shared" si="15"/>
        <v>3547937.8110005306</v>
      </c>
      <c r="V10" s="199">
        <f t="shared" si="5"/>
        <v>0.92670157068062831</v>
      </c>
      <c r="W10" s="199">
        <f t="shared" si="16"/>
        <v>1.2314243652174133E-2</v>
      </c>
      <c r="X10" s="197">
        <f t="shared" si="17"/>
        <v>1456524.9121646711</v>
      </c>
      <c r="Y10" s="32">
        <f t="shared" si="6"/>
        <v>5004462.723165202</v>
      </c>
      <c r="Z10" s="201">
        <f t="shared" si="18"/>
        <v>6.3465622324671784E-3</v>
      </c>
      <c r="AB10" s="36">
        <f t="shared" si="7"/>
        <v>7325910.4746409319</v>
      </c>
      <c r="AC10" s="37">
        <f t="shared" si="8"/>
        <v>4440195.5509913079</v>
      </c>
      <c r="AD10" s="37">
        <f t="shared" si="19"/>
        <v>5004462.7231652029</v>
      </c>
      <c r="AE10" s="37">
        <f t="shared" si="20"/>
        <v>16770568.748797443</v>
      </c>
      <c r="AF10" s="38">
        <f t="shared" si="21"/>
        <v>5.3170272277897135E-3</v>
      </c>
      <c r="AH10" s="230"/>
    </row>
    <row r="11" spans="1:34">
      <c r="A11" s="248">
        <v>14</v>
      </c>
      <c r="B11" s="4" t="s">
        <v>144</v>
      </c>
      <c r="C11" s="32">
        <v>10911069</v>
      </c>
      <c r="D11" s="32">
        <v>2729196</v>
      </c>
      <c r="E11" s="34">
        <f t="shared" si="0"/>
        <v>0.25013094500639671</v>
      </c>
      <c r="F11" s="35">
        <f t="shared" si="9"/>
        <v>682656.37458767788</v>
      </c>
      <c r="G11" s="78">
        <f t="shared" si="1"/>
        <v>2.6799027216570378E-4</v>
      </c>
      <c r="H11" s="30">
        <v>18030</v>
      </c>
      <c r="I11" s="72">
        <f t="shared" si="2"/>
        <v>3.1169817244256232E-3</v>
      </c>
      <c r="J11" s="31">
        <f t="shared" si="10"/>
        <v>2.6494344657617798E-3</v>
      </c>
      <c r="K11" s="32">
        <v>4539.2</v>
      </c>
      <c r="L11" s="69">
        <f t="shared" si="3"/>
        <v>7.0752099556708276E-2</v>
      </c>
      <c r="M11" s="33">
        <f t="shared" si="11"/>
        <v>1.0612814933506241E-2</v>
      </c>
      <c r="N11" s="78">
        <f t="shared" si="12"/>
        <v>1.3262249399268022E-2</v>
      </c>
      <c r="O11" s="197">
        <v>7349</v>
      </c>
      <c r="P11" s="197">
        <v>5491</v>
      </c>
      <c r="Q11" s="198">
        <v>1.7933312159000001</v>
      </c>
      <c r="R11" s="199">
        <f t="shared" si="13"/>
        <v>5.1052332592326066E-3</v>
      </c>
      <c r="S11" s="200">
        <f t="shared" si="4"/>
        <v>9.1553741682327307E-3</v>
      </c>
      <c r="T11" s="200">
        <f t="shared" si="14"/>
        <v>4.7485028752136602E-3</v>
      </c>
      <c r="U11" s="197">
        <f t="shared" si="15"/>
        <v>3182691.5179432267</v>
      </c>
      <c r="V11" s="199">
        <f t="shared" si="5"/>
        <v>1.3383718812602441</v>
      </c>
      <c r="W11" s="199">
        <f t="shared" si="16"/>
        <v>1.7784622325559021E-2</v>
      </c>
      <c r="X11" s="197">
        <f t="shared" si="17"/>
        <v>2103559.6015710863</v>
      </c>
      <c r="Y11" s="32">
        <f t="shared" si="6"/>
        <v>5286251.1195143126</v>
      </c>
      <c r="Z11" s="201">
        <f t="shared" si="18"/>
        <v>6.7039207927654639E-3</v>
      </c>
      <c r="AB11" s="36">
        <f t="shared" si="7"/>
        <v>422637.41474502202</v>
      </c>
      <c r="AC11" s="37">
        <f t="shared" si="8"/>
        <v>10457698.248734562</v>
      </c>
      <c r="AD11" s="37">
        <f t="shared" si="19"/>
        <v>5286251.1195143135</v>
      </c>
      <c r="AE11" s="37">
        <f t="shared" si="20"/>
        <v>16166586.782993898</v>
      </c>
      <c r="AF11" s="38">
        <f t="shared" si="21"/>
        <v>5.1255376840912224E-3</v>
      </c>
      <c r="AH11" s="230"/>
    </row>
    <row r="12" spans="1:34">
      <c r="A12" s="248">
        <v>17</v>
      </c>
      <c r="B12" s="4" t="s">
        <v>4</v>
      </c>
      <c r="C12" s="32">
        <v>696327770</v>
      </c>
      <c r="D12" s="32">
        <v>369978125.35000002</v>
      </c>
      <c r="E12" s="34">
        <f t="shared" si="0"/>
        <v>0.53132754614971056</v>
      </c>
      <c r="F12" s="35">
        <f t="shared" si="9"/>
        <v>196579569.47128552</v>
      </c>
      <c r="G12" s="78">
        <f t="shared" si="1"/>
        <v>7.7171201040415208E-2</v>
      </c>
      <c r="H12" s="30">
        <v>656464</v>
      </c>
      <c r="I12" s="72">
        <f t="shared" si="2"/>
        <v>0.11348786970290306</v>
      </c>
      <c r="J12" s="31">
        <f t="shared" si="10"/>
        <v>9.6464689247467594E-2</v>
      </c>
      <c r="K12" s="32">
        <v>224</v>
      </c>
      <c r="L12" s="69">
        <f t="shared" si="3"/>
        <v>3.4914677257452094E-3</v>
      </c>
      <c r="M12" s="33">
        <f t="shared" si="11"/>
        <v>5.2372015886178135E-4</v>
      </c>
      <c r="N12" s="78">
        <f t="shared" si="12"/>
        <v>9.6988409406329371E-2</v>
      </c>
      <c r="O12" s="197">
        <v>77936</v>
      </c>
      <c r="P12" s="197">
        <v>87455</v>
      </c>
      <c r="Q12" s="198">
        <v>1.8323297204</v>
      </c>
      <c r="R12" s="199">
        <f t="shared" si="13"/>
        <v>8.1310904149733673E-2</v>
      </c>
      <c r="S12" s="200">
        <f t="shared" si="4"/>
        <v>0.14898838626615271</v>
      </c>
      <c r="T12" s="200">
        <f t="shared" si="14"/>
        <v>7.7273934146028844E-2</v>
      </c>
      <c r="U12" s="197">
        <f t="shared" si="15"/>
        <v>51792975.855280153</v>
      </c>
      <c r="V12" s="199">
        <f t="shared" si="5"/>
        <v>0.89115545137499286</v>
      </c>
      <c r="W12" s="199">
        <f t="shared" si="16"/>
        <v>1.1841897874560577E-2</v>
      </c>
      <c r="X12" s="197">
        <f t="shared" si="17"/>
        <v>1400656.0003839242</v>
      </c>
      <c r="Y12" s="32">
        <f t="shared" si="6"/>
        <v>53193631.855664074</v>
      </c>
      <c r="Z12" s="201">
        <f t="shared" si="18"/>
        <v>6.745912870530861E-2</v>
      </c>
      <c r="AB12" s="36">
        <f t="shared" si="7"/>
        <v>121703809.01110715</v>
      </c>
      <c r="AC12" s="37">
        <f t="shared" si="8"/>
        <v>76478392.817141697</v>
      </c>
      <c r="AD12" s="37">
        <f t="shared" si="19"/>
        <v>53193631.855664082</v>
      </c>
      <c r="AE12" s="37">
        <f t="shared" si="20"/>
        <v>251375833.68391293</v>
      </c>
      <c r="AF12" s="38">
        <f t="shared" si="21"/>
        <v>7.9697485048117078E-2</v>
      </c>
      <c r="AH12" s="230"/>
    </row>
    <row r="13" spans="1:34">
      <c r="A13" s="248">
        <v>16</v>
      </c>
      <c r="B13" s="4" t="s">
        <v>5</v>
      </c>
      <c r="C13" s="32">
        <v>1849663</v>
      </c>
      <c r="D13" s="32">
        <v>809425.1</v>
      </c>
      <c r="E13" s="34">
        <f t="shared" si="0"/>
        <v>0.43760679648130496</v>
      </c>
      <c r="F13" s="35">
        <f t="shared" si="9"/>
        <v>354209.9250025599</v>
      </c>
      <c r="G13" s="78">
        <f t="shared" si="1"/>
        <v>1.3905211719814937E-4</v>
      </c>
      <c r="H13" s="30">
        <v>14992</v>
      </c>
      <c r="I13" s="72">
        <f t="shared" si="2"/>
        <v>2.5917798121236242E-3</v>
      </c>
      <c r="J13" s="31">
        <f t="shared" si="10"/>
        <v>2.2030128403050806E-3</v>
      </c>
      <c r="K13" s="32">
        <v>2688.6</v>
      </c>
      <c r="L13" s="69">
        <f t="shared" si="3"/>
        <v>4.1906964854636471E-2</v>
      </c>
      <c r="M13" s="33">
        <f t="shared" si="11"/>
        <v>6.2860447281954702E-3</v>
      </c>
      <c r="N13" s="78">
        <f t="shared" si="12"/>
        <v>8.48905756850055E-3</v>
      </c>
      <c r="O13" s="197">
        <v>10274</v>
      </c>
      <c r="P13" s="197">
        <v>7471</v>
      </c>
      <c r="Q13" s="198">
        <v>2.3084826450000002</v>
      </c>
      <c r="R13" s="199">
        <f t="shared" si="13"/>
        <v>6.9461296084004373E-3</v>
      </c>
      <c r="S13" s="200">
        <f t="shared" si="4"/>
        <v>1.6035019650913057E-2</v>
      </c>
      <c r="T13" s="200">
        <f t="shared" si="14"/>
        <v>8.3166821494490614E-3</v>
      </c>
      <c r="U13" s="197">
        <f t="shared" si="15"/>
        <v>5574269.2865675837</v>
      </c>
      <c r="V13" s="199">
        <f t="shared" si="5"/>
        <v>1.375184044973899</v>
      </c>
      <c r="W13" s="199">
        <f t="shared" si="16"/>
        <v>1.8273791619834338E-2</v>
      </c>
      <c r="X13" s="197">
        <f t="shared" si="17"/>
        <v>2161418.3936741822</v>
      </c>
      <c r="Y13" s="32">
        <f t="shared" si="6"/>
        <v>7735687.6802417655</v>
      </c>
      <c r="Z13" s="201">
        <f t="shared" si="18"/>
        <v>9.8102485700068531E-3</v>
      </c>
      <c r="AB13" s="36">
        <f t="shared" si="7"/>
        <v>219293.88276866201</v>
      </c>
      <c r="AC13" s="37">
        <f t="shared" si="8"/>
        <v>6693887.2731811889</v>
      </c>
      <c r="AD13" s="37">
        <f t="shared" si="19"/>
        <v>7735687.6802417664</v>
      </c>
      <c r="AE13" s="37">
        <f t="shared" si="20"/>
        <v>14648868.836191617</v>
      </c>
      <c r="AF13" s="38">
        <f t="shared" si="21"/>
        <v>4.6443525932259241E-3</v>
      </c>
      <c r="AH13" s="230"/>
    </row>
    <row r="14" spans="1:34">
      <c r="A14" s="248">
        <v>18</v>
      </c>
      <c r="B14" s="4" t="s">
        <v>6</v>
      </c>
      <c r="C14" s="32">
        <v>2325037</v>
      </c>
      <c r="D14" s="32">
        <v>2282515</v>
      </c>
      <c r="E14" s="34">
        <f t="shared" si="0"/>
        <v>0.9817112587885698</v>
      </c>
      <c r="F14" s="35">
        <f t="shared" si="9"/>
        <v>2240770.6738537923</v>
      </c>
      <c r="G14" s="78">
        <f t="shared" si="1"/>
        <v>8.7965888124857548E-4</v>
      </c>
      <c r="H14" s="30">
        <v>3661</v>
      </c>
      <c r="I14" s="72">
        <f t="shared" si="2"/>
        <v>6.329046086035611E-4</v>
      </c>
      <c r="J14" s="31">
        <f t="shared" si="10"/>
        <v>5.3796891731302697E-4</v>
      </c>
      <c r="K14" s="32">
        <v>466.7</v>
      </c>
      <c r="L14" s="69">
        <f t="shared" si="3"/>
        <v>7.2744106589521839E-3</v>
      </c>
      <c r="M14" s="33">
        <f t="shared" si="11"/>
        <v>1.0911615988428275E-3</v>
      </c>
      <c r="N14" s="78">
        <f t="shared" si="12"/>
        <v>1.6291305161558545E-3</v>
      </c>
      <c r="O14" s="197">
        <v>1472</v>
      </c>
      <c r="P14" s="197">
        <v>1100</v>
      </c>
      <c r="Q14" s="198">
        <v>1.4822637890000001</v>
      </c>
      <c r="R14" s="199">
        <f t="shared" si="13"/>
        <v>1.0227201939821285E-3</v>
      </c>
      <c r="S14" s="200">
        <f t="shared" si="4"/>
        <v>1.515941109818765E-3</v>
      </c>
      <c r="T14" s="200">
        <f t="shared" si="14"/>
        <v>7.8625412641311154E-4</v>
      </c>
      <c r="U14" s="197">
        <f t="shared" si="15"/>
        <v>526988.06441604509</v>
      </c>
      <c r="V14" s="199">
        <f t="shared" si="5"/>
        <v>1.3381818181818181</v>
      </c>
      <c r="W14" s="199">
        <f t="shared" si="16"/>
        <v>1.7782096719548338E-2</v>
      </c>
      <c r="X14" s="197">
        <f t="shared" si="17"/>
        <v>2103260.8736770498</v>
      </c>
      <c r="Y14" s="32">
        <f t="shared" si="6"/>
        <v>2630248.9380930951</v>
      </c>
      <c r="Z14" s="201">
        <f t="shared" si="18"/>
        <v>3.3356305153833966E-3</v>
      </c>
      <c r="AB14" s="36">
        <f t="shared" si="7"/>
        <v>1387277.0545884562</v>
      </c>
      <c r="AC14" s="37">
        <f t="shared" si="8"/>
        <v>1284620.341003648</v>
      </c>
      <c r="AD14" s="37">
        <f t="shared" si="19"/>
        <v>2630248.9380930956</v>
      </c>
      <c r="AE14" s="37">
        <f t="shared" si="20"/>
        <v>5302146.3336851997</v>
      </c>
      <c r="AF14" s="38">
        <f t="shared" si="21"/>
        <v>1.6810196985090999E-3</v>
      </c>
      <c r="AH14" s="230"/>
    </row>
    <row r="15" spans="1:34">
      <c r="A15" s="248">
        <v>19</v>
      </c>
      <c r="B15" s="4" t="s">
        <v>128</v>
      </c>
      <c r="C15" s="32">
        <v>116630005</v>
      </c>
      <c r="D15" s="32">
        <v>34565785.189999998</v>
      </c>
      <c r="E15" s="34">
        <f t="shared" si="0"/>
        <v>0.29637129133279211</v>
      </c>
      <c r="F15" s="35">
        <f t="shared" si="9"/>
        <v>10244306.392692201</v>
      </c>
      <c r="G15" s="78">
        <f t="shared" si="1"/>
        <v>4.0216052475663747E-3</v>
      </c>
      <c r="H15" s="30">
        <v>122337</v>
      </c>
      <c r="I15" s="72">
        <f t="shared" si="2"/>
        <v>2.1149317427679282E-2</v>
      </c>
      <c r="J15" s="31">
        <f t="shared" si="10"/>
        <v>1.7976919813527389E-2</v>
      </c>
      <c r="K15" s="32">
        <v>1140.9000000000001</v>
      </c>
      <c r="L15" s="69">
        <f t="shared" si="3"/>
        <v>1.7783105037065667E-2</v>
      </c>
      <c r="M15" s="33">
        <f t="shared" si="11"/>
        <v>2.6674657555598499E-3</v>
      </c>
      <c r="N15" s="78">
        <f t="shared" si="12"/>
        <v>2.0644385569087237E-2</v>
      </c>
      <c r="O15" s="197">
        <v>26523</v>
      </c>
      <c r="P15" s="197">
        <v>24758</v>
      </c>
      <c r="Q15" s="198">
        <v>1.8739893594999999</v>
      </c>
      <c r="R15" s="199">
        <f t="shared" si="13"/>
        <v>2.3018642329645032E-2</v>
      </c>
      <c r="S15" s="200">
        <f t="shared" si="4"/>
        <v>4.3136690795891081E-2</v>
      </c>
      <c r="T15" s="200">
        <f t="shared" si="14"/>
        <v>2.2373165367967789E-2</v>
      </c>
      <c r="U15" s="197">
        <f t="shared" si="15"/>
        <v>14995649.264078472</v>
      </c>
      <c r="V15" s="199">
        <f t="shared" si="5"/>
        <v>1.0712900880523468</v>
      </c>
      <c r="W15" s="199">
        <f t="shared" si="16"/>
        <v>1.4235572253046412E-2</v>
      </c>
      <c r="X15" s="197">
        <f t="shared" si="17"/>
        <v>1683779.0619663023</v>
      </c>
      <c r="Y15" s="32">
        <f t="shared" si="6"/>
        <v>16679428.326044774</v>
      </c>
      <c r="Z15" s="201">
        <f t="shared" si="18"/>
        <v>2.1152526400729586E-2</v>
      </c>
      <c r="AB15" s="36">
        <f t="shared" si="7"/>
        <v>6342322.9179957695</v>
      </c>
      <c r="AC15" s="37">
        <f t="shared" si="8"/>
        <v>16278743.395065421</v>
      </c>
      <c r="AD15" s="37">
        <f t="shared" si="19"/>
        <v>16679428.326044777</v>
      </c>
      <c r="AE15" s="37">
        <f t="shared" si="20"/>
        <v>39300494.639105968</v>
      </c>
      <c r="AF15" s="38">
        <f t="shared" si="21"/>
        <v>1.246003061623739E-2</v>
      </c>
      <c r="AH15" s="230"/>
    </row>
    <row r="16" spans="1:34">
      <c r="A16" s="248">
        <v>20</v>
      </c>
      <c r="B16" s="4" t="s">
        <v>129</v>
      </c>
      <c r="C16" s="32">
        <v>36098646</v>
      </c>
      <c r="D16" s="32">
        <v>10430458.359999999</v>
      </c>
      <c r="E16" s="34">
        <f t="shared" si="0"/>
        <v>0.28894320191399975</v>
      </c>
      <c r="F16" s="35">
        <f t="shared" si="9"/>
        <v>3013810.0359690464</v>
      </c>
      <c r="G16" s="78">
        <f t="shared" si="1"/>
        <v>1.1831307841853893E-3</v>
      </c>
      <c r="H16" s="30">
        <v>104478</v>
      </c>
      <c r="I16" s="72">
        <f t="shared" si="2"/>
        <v>1.8061897759541888E-2</v>
      </c>
      <c r="J16" s="31">
        <f t="shared" si="10"/>
        <v>1.5352613095610604E-2</v>
      </c>
      <c r="K16" s="32">
        <v>104.3</v>
      </c>
      <c r="L16" s="69">
        <f t="shared" si="3"/>
        <v>1.6257146598001131E-3</v>
      </c>
      <c r="M16" s="33">
        <f t="shared" si="11"/>
        <v>2.4385719897001694E-4</v>
      </c>
      <c r="N16" s="78">
        <f t="shared" si="12"/>
        <v>1.5596470294580621E-2</v>
      </c>
      <c r="O16" s="197">
        <v>8234</v>
      </c>
      <c r="P16" s="197">
        <v>27842</v>
      </c>
      <c r="Q16" s="198">
        <v>1.8343045897000001</v>
      </c>
      <c r="R16" s="199">
        <f t="shared" si="13"/>
        <v>2.5885977855318563E-2</v>
      </c>
      <c r="S16" s="200">
        <f t="shared" si="4"/>
        <v>4.7482767988883408E-2</v>
      </c>
      <c r="T16" s="200">
        <f t="shared" si="14"/>
        <v>2.4627290613709465E-2</v>
      </c>
      <c r="U16" s="197">
        <f t="shared" si="15"/>
        <v>16506480.25408412</v>
      </c>
      <c r="V16" s="199">
        <f t="shared" si="5"/>
        <v>0.29574024854536313</v>
      </c>
      <c r="W16" s="199">
        <f t="shared" si="16"/>
        <v>3.9298708382110078E-3</v>
      </c>
      <c r="X16" s="197">
        <f t="shared" si="17"/>
        <v>464823.90142030374</v>
      </c>
      <c r="Y16" s="32">
        <f t="shared" si="6"/>
        <v>16971304.155504424</v>
      </c>
      <c r="Z16" s="201">
        <f t="shared" si="18"/>
        <v>2.1522677647384698E-2</v>
      </c>
      <c r="AB16" s="36">
        <f t="shared" si="7"/>
        <v>1865871.2194753904</v>
      </c>
      <c r="AC16" s="37">
        <f t="shared" si="8"/>
        <v>12298304.395865038</v>
      </c>
      <c r="AD16" s="37">
        <f t="shared" si="19"/>
        <v>16971304.155504428</v>
      </c>
      <c r="AE16" s="37">
        <f t="shared" si="20"/>
        <v>31135479.770844854</v>
      </c>
      <c r="AF16" s="38">
        <f t="shared" si="21"/>
        <v>9.8713523775840212E-3</v>
      </c>
      <c r="AH16" s="230"/>
    </row>
    <row r="17" spans="1:34">
      <c r="A17" s="248">
        <v>23</v>
      </c>
      <c r="B17" s="4" t="s">
        <v>130</v>
      </c>
      <c r="C17" s="32">
        <v>3294944</v>
      </c>
      <c r="D17" s="32">
        <v>1264344</v>
      </c>
      <c r="E17" s="34">
        <f t="shared" si="0"/>
        <v>0.38372245476706129</v>
      </c>
      <c r="F17" s="35">
        <f t="shared" si="9"/>
        <v>485157.18335000536</v>
      </c>
      <c r="G17" s="78">
        <f t="shared" si="1"/>
        <v>1.9045805539814119E-4</v>
      </c>
      <c r="H17" s="30">
        <v>7340</v>
      </c>
      <c r="I17" s="72">
        <f t="shared" si="2"/>
        <v>1.2689210126058832E-3</v>
      </c>
      <c r="J17" s="31">
        <f t="shared" si="10"/>
        <v>1.0785828607150008E-3</v>
      </c>
      <c r="K17" s="32">
        <v>1007.4</v>
      </c>
      <c r="L17" s="69">
        <f t="shared" si="3"/>
        <v>1.5702252620159483E-2</v>
      </c>
      <c r="M17" s="33">
        <f t="shared" si="11"/>
        <v>2.3553378930239225E-3</v>
      </c>
      <c r="N17" s="78">
        <f t="shared" si="12"/>
        <v>3.4339207537389233E-3</v>
      </c>
      <c r="O17" s="197">
        <v>3737</v>
      </c>
      <c r="P17" s="197">
        <v>763</v>
      </c>
      <c r="Q17" s="198">
        <v>1.7930753231000001</v>
      </c>
      <c r="R17" s="199">
        <f t="shared" si="13"/>
        <v>7.0939591637123999E-4</v>
      </c>
      <c r="S17" s="200">
        <f t="shared" si="4"/>
        <v>1.2720003119531817E-3</v>
      </c>
      <c r="T17" s="200">
        <f t="shared" si="14"/>
        <v>6.5973241809605702E-4</v>
      </c>
      <c r="U17" s="197">
        <f t="shared" si="15"/>
        <v>442186.69049284665</v>
      </c>
      <c r="V17" s="199">
        <f t="shared" si="5"/>
        <v>4.8977719528178243</v>
      </c>
      <c r="W17" s="199">
        <f t="shared" si="16"/>
        <v>6.5082826109257794E-2</v>
      </c>
      <c r="X17" s="197">
        <f t="shared" si="17"/>
        <v>7697976.4457948534</v>
      </c>
      <c r="Y17" s="32">
        <f t="shared" si="6"/>
        <v>8140163.1362877004</v>
      </c>
      <c r="Z17" s="201">
        <f t="shared" si="18"/>
        <v>1.0323196471770319E-2</v>
      </c>
      <c r="AB17" s="36">
        <f t="shared" si="7"/>
        <v>300364.26136043877</v>
      </c>
      <c r="AC17" s="37">
        <f t="shared" si="8"/>
        <v>2707753.8637337661</v>
      </c>
      <c r="AD17" s="37">
        <f t="shared" si="19"/>
        <v>8140163.1362877013</v>
      </c>
      <c r="AE17" s="37">
        <f t="shared" si="20"/>
        <v>11148281.261381906</v>
      </c>
      <c r="AF17" s="38">
        <f t="shared" si="21"/>
        <v>3.5345083340763798E-3</v>
      </c>
      <c r="AH17" s="230"/>
    </row>
    <row r="18" spans="1:34">
      <c r="A18" s="248">
        <v>21</v>
      </c>
      <c r="B18" s="4" t="s">
        <v>7</v>
      </c>
      <c r="C18" s="32">
        <v>5282316</v>
      </c>
      <c r="D18" s="32">
        <v>1750296.04</v>
      </c>
      <c r="E18" s="34">
        <f t="shared" si="0"/>
        <v>0.33135011990952457</v>
      </c>
      <c r="F18" s="35">
        <f t="shared" si="9"/>
        <v>579960.80273116601</v>
      </c>
      <c r="G18" s="78">
        <f t="shared" si="1"/>
        <v>2.2767509270420376E-4</v>
      </c>
      <c r="H18" s="30">
        <v>9930</v>
      </c>
      <c r="I18" s="72">
        <f t="shared" si="2"/>
        <v>1.7166737949831634E-3</v>
      </c>
      <c r="J18" s="31">
        <f t="shared" si="10"/>
        <v>1.4591727257356889E-3</v>
      </c>
      <c r="K18" s="32">
        <v>4265.7</v>
      </c>
      <c r="L18" s="69">
        <f t="shared" si="3"/>
        <v>6.6489079811211327E-2</v>
      </c>
      <c r="M18" s="33">
        <f t="shared" si="11"/>
        <v>9.9733619716816987E-3</v>
      </c>
      <c r="N18" s="78">
        <f t="shared" si="12"/>
        <v>1.1432534697417387E-2</v>
      </c>
      <c r="O18" s="197">
        <v>4127</v>
      </c>
      <c r="P18" s="197">
        <v>1614</v>
      </c>
      <c r="Q18" s="198">
        <v>1.7681716602999999</v>
      </c>
      <c r="R18" s="199">
        <f t="shared" si="13"/>
        <v>1.5006094482610502E-3</v>
      </c>
      <c r="S18" s="200">
        <f t="shared" si="4"/>
        <v>2.6533350995936078E-3</v>
      </c>
      <c r="T18" s="200">
        <f t="shared" si="14"/>
        <v>1.3761719748213892E-3</v>
      </c>
      <c r="U18" s="197">
        <f t="shared" si="15"/>
        <v>922381.42980973539</v>
      </c>
      <c r="V18" s="199">
        <f t="shared" si="5"/>
        <v>2.5570012391573731</v>
      </c>
      <c r="W18" s="199">
        <f t="shared" si="16"/>
        <v>3.3978075870496942E-2</v>
      </c>
      <c r="X18" s="197">
        <f t="shared" si="17"/>
        <v>4018916.2542729476</v>
      </c>
      <c r="Y18" s="32">
        <f t="shared" si="6"/>
        <v>4941297.6840826832</v>
      </c>
      <c r="Z18" s="201">
        <f t="shared" si="18"/>
        <v>6.2664575591727233E-3</v>
      </c>
      <c r="AB18" s="36">
        <f t="shared" si="7"/>
        <v>359057.85611068993</v>
      </c>
      <c r="AC18" s="37">
        <f t="shared" si="8"/>
        <v>9014911.0067540761</v>
      </c>
      <c r="AD18" s="37">
        <f t="shared" si="19"/>
        <v>4941297.6840826841</v>
      </c>
      <c r="AE18" s="37">
        <f t="shared" si="20"/>
        <v>14315266.546947449</v>
      </c>
      <c r="AF18" s="38">
        <f t="shared" si="21"/>
        <v>4.5385856104996278E-3</v>
      </c>
      <c r="AH18" s="230"/>
    </row>
    <row r="19" spans="1:34">
      <c r="A19" s="248">
        <v>22</v>
      </c>
      <c r="B19" s="4" t="s">
        <v>131</v>
      </c>
      <c r="C19" s="32">
        <v>53700075</v>
      </c>
      <c r="D19" s="32">
        <v>15225307</v>
      </c>
      <c r="E19" s="34">
        <f t="shared" si="0"/>
        <v>0.28352487403416105</v>
      </c>
      <c r="F19" s="35">
        <f t="shared" si="9"/>
        <v>4316753.2493064301</v>
      </c>
      <c r="G19" s="78">
        <f t="shared" si="1"/>
        <v>1.6946269326973595E-3</v>
      </c>
      <c r="H19" s="30">
        <v>68747</v>
      </c>
      <c r="I19" s="72">
        <f t="shared" si="2"/>
        <v>1.1884811015479108E-2</v>
      </c>
      <c r="J19" s="31">
        <f t="shared" si="10"/>
        <v>1.0102089363157242E-2</v>
      </c>
      <c r="K19" s="32">
        <v>138.69999999999999</v>
      </c>
      <c r="L19" s="69">
        <f t="shared" si="3"/>
        <v>2.1619043462538417E-3</v>
      </c>
      <c r="M19" s="33">
        <f t="shared" si="11"/>
        <v>3.2428565193807623E-4</v>
      </c>
      <c r="N19" s="78">
        <f t="shared" si="12"/>
        <v>1.0426375015095319E-2</v>
      </c>
      <c r="O19" s="197">
        <v>10747</v>
      </c>
      <c r="P19" s="197">
        <v>15877</v>
      </c>
      <c r="Q19" s="198">
        <v>1.8900298334000001</v>
      </c>
      <c r="R19" s="199">
        <f t="shared" si="13"/>
        <v>1.4761571381685684E-2</v>
      </c>
      <c r="S19" s="200">
        <f t="shared" si="4"/>
        <v>2.7899810299249601E-2</v>
      </c>
      <c r="T19" s="200">
        <f t="shared" si="14"/>
        <v>1.4470444024405789E-2</v>
      </c>
      <c r="U19" s="197">
        <f t="shared" si="15"/>
        <v>9698837.858506361</v>
      </c>
      <c r="V19" s="199">
        <f t="shared" si="5"/>
        <v>0.67689110033381616</v>
      </c>
      <c r="W19" s="199">
        <f t="shared" si="16"/>
        <v>8.9946992637304091E-3</v>
      </c>
      <c r="X19" s="197">
        <f t="shared" si="17"/>
        <v>1063890.2335458929</v>
      </c>
      <c r="Y19" s="32">
        <f t="shared" si="6"/>
        <v>10762728.092052255</v>
      </c>
      <c r="Z19" s="201">
        <f t="shared" si="18"/>
        <v>1.3649082310304485E-2</v>
      </c>
      <c r="AB19" s="36">
        <f t="shared" si="7"/>
        <v>2672532.6259217709</v>
      </c>
      <c r="AC19" s="37">
        <f t="shared" si="8"/>
        <v>8221522.6432124013</v>
      </c>
      <c r="AD19" s="37">
        <f t="shared" si="19"/>
        <v>10762728.092052257</v>
      </c>
      <c r="AE19" s="37">
        <f t="shared" si="20"/>
        <v>21656783.36118643</v>
      </c>
      <c r="AF19" s="38">
        <f t="shared" si="21"/>
        <v>6.8661777976986287E-3</v>
      </c>
      <c r="AH19" s="230"/>
    </row>
    <row r="20" spans="1:34">
      <c r="A20" s="248">
        <v>25</v>
      </c>
      <c r="B20" s="4" t="s">
        <v>8</v>
      </c>
      <c r="C20" s="32">
        <v>7034210</v>
      </c>
      <c r="D20" s="32">
        <v>928327</v>
      </c>
      <c r="E20" s="34">
        <f t="shared" si="0"/>
        <v>0.13197317111658594</v>
      </c>
      <c r="F20" s="35">
        <f t="shared" si="9"/>
        <v>122514.25802314687</v>
      </c>
      <c r="G20" s="78">
        <f t="shared" si="1"/>
        <v>4.8095397002090815E-5</v>
      </c>
      <c r="H20" s="30">
        <v>36088</v>
      </c>
      <c r="I20" s="72">
        <f t="shared" si="2"/>
        <v>6.2388040194715413E-3</v>
      </c>
      <c r="J20" s="31">
        <f t="shared" si="10"/>
        <v>5.3029834165508102E-3</v>
      </c>
      <c r="K20" s="32">
        <v>5053.7</v>
      </c>
      <c r="L20" s="69">
        <f t="shared" si="3"/>
        <v>7.87715644892793E-2</v>
      </c>
      <c r="M20" s="33">
        <f t="shared" si="11"/>
        <v>1.1815734673391894E-2</v>
      </c>
      <c r="N20" s="78">
        <f t="shared" si="12"/>
        <v>1.7118718089942704E-2</v>
      </c>
      <c r="O20" s="197">
        <v>25568</v>
      </c>
      <c r="P20" s="197">
        <v>20948</v>
      </c>
      <c r="Q20" s="198">
        <v>2.5216163224999999</v>
      </c>
      <c r="R20" s="199">
        <f t="shared" si="13"/>
        <v>1.9476311475943298E-2</v>
      </c>
      <c r="S20" s="200">
        <f t="shared" si="4"/>
        <v>4.9111784919832688E-2</v>
      </c>
      <c r="T20" s="200">
        <f t="shared" si="14"/>
        <v>2.5472192355379904E-2</v>
      </c>
      <c r="U20" s="197">
        <f t="shared" si="15"/>
        <v>17072776.974835072</v>
      </c>
      <c r="V20" s="199">
        <f t="shared" si="5"/>
        <v>1.220546114187512</v>
      </c>
      <c r="W20" s="199">
        <f t="shared" si="16"/>
        <v>1.6218923884827686E-2</v>
      </c>
      <c r="X20" s="197">
        <f t="shared" si="17"/>
        <v>1918369.2765883629</v>
      </c>
      <c r="Y20" s="32">
        <f t="shared" si="6"/>
        <v>18991146.251423433</v>
      </c>
      <c r="Z20" s="201">
        <f t="shared" si="18"/>
        <v>2.4084202084797071E-2</v>
      </c>
      <c r="AB20" s="36">
        <f t="shared" si="7"/>
        <v>75849.44813791824</v>
      </c>
      <c r="AC20" s="37">
        <f t="shared" si="8"/>
        <v>13498644.370211829</v>
      </c>
      <c r="AD20" s="37">
        <f t="shared" si="19"/>
        <v>18991146.251423437</v>
      </c>
      <c r="AE20" s="37">
        <f t="shared" si="20"/>
        <v>32565640.069773182</v>
      </c>
      <c r="AF20" s="38">
        <f t="shared" si="21"/>
        <v>1.0324777742185987E-2</v>
      </c>
      <c r="AH20" s="230"/>
    </row>
    <row r="21" spans="1:34">
      <c r="A21" s="248">
        <v>27</v>
      </c>
      <c r="B21" s="4" t="s">
        <v>9</v>
      </c>
      <c r="C21" s="32">
        <v>1629962</v>
      </c>
      <c r="D21" s="32">
        <v>292169</v>
      </c>
      <c r="E21" s="34">
        <f t="shared" si="0"/>
        <v>0.1792489640862793</v>
      </c>
      <c r="F21" s="35">
        <f t="shared" si="9"/>
        <v>52370.990588124136</v>
      </c>
      <c r="G21" s="78">
        <f t="shared" si="1"/>
        <v>2.0559268973026053E-5</v>
      </c>
      <c r="H21" s="30">
        <v>1360</v>
      </c>
      <c r="I21" s="72">
        <f t="shared" si="2"/>
        <v>2.351134301286105E-4</v>
      </c>
      <c r="J21" s="31">
        <f t="shared" si="10"/>
        <v>1.9984641560931893E-4</v>
      </c>
      <c r="K21" s="32">
        <v>720.7</v>
      </c>
      <c r="L21" s="69">
        <f t="shared" si="3"/>
        <v>1.1233485669395412E-2</v>
      </c>
      <c r="M21" s="33">
        <f t="shared" si="11"/>
        <v>1.6850228504093118E-3</v>
      </c>
      <c r="N21" s="78">
        <f t="shared" si="12"/>
        <v>1.8848692660186307E-3</v>
      </c>
      <c r="O21" s="197">
        <v>347</v>
      </c>
      <c r="P21" s="197">
        <v>179</v>
      </c>
      <c r="Q21" s="198">
        <v>1.9685182910000001</v>
      </c>
      <c r="R21" s="199">
        <f t="shared" si="13"/>
        <v>1.6642446792981908E-4</v>
      </c>
      <c r="S21" s="200">
        <f t="shared" si="4"/>
        <v>3.2760960918979179E-4</v>
      </c>
      <c r="T21" s="200">
        <f t="shared" si="14"/>
        <v>1.699171593208232E-4</v>
      </c>
      <c r="U21" s="197">
        <f t="shared" si="15"/>
        <v>113887.24318695052</v>
      </c>
      <c r="V21" s="199">
        <f t="shared" si="5"/>
        <v>1.9385474860335195</v>
      </c>
      <c r="W21" s="199">
        <f t="shared" si="16"/>
        <v>2.5759906780770288E-2</v>
      </c>
      <c r="X21" s="197">
        <f t="shared" si="17"/>
        <v>3046873.7683785595</v>
      </c>
      <c r="Y21" s="32">
        <f t="shared" si="6"/>
        <v>3160761.0115655102</v>
      </c>
      <c r="Z21" s="201">
        <f t="shared" si="18"/>
        <v>4.0084156025382428E-3</v>
      </c>
      <c r="AB21" s="36">
        <f t="shared" si="7"/>
        <v>32423.252596402526</v>
      </c>
      <c r="AC21" s="37">
        <f t="shared" si="8"/>
        <v>1486278.3400397038</v>
      </c>
      <c r="AD21" s="37">
        <f t="shared" si="19"/>
        <v>3160761.0115655102</v>
      </c>
      <c r="AE21" s="37">
        <f t="shared" si="20"/>
        <v>4679462.6042016167</v>
      </c>
      <c r="AF21" s="38">
        <f t="shared" si="21"/>
        <v>1.4836008516257309E-3</v>
      </c>
      <c r="AH21" s="230"/>
    </row>
    <row r="22" spans="1:34">
      <c r="A22" s="248">
        <v>26</v>
      </c>
      <c r="B22" s="4" t="s">
        <v>132</v>
      </c>
      <c r="C22" s="32">
        <v>2243867</v>
      </c>
      <c r="D22" s="32">
        <v>719516</v>
      </c>
      <c r="E22" s="34">
        <f t="shared" si="0"/>
        <v>0.32065893388511885</v>
      </c>
      <c r="F22" s="35">
        <f t="shared" si="9"/>
        <v>230719.23347328516</v>
      </c>
      <c r="G22" s="78">
        <f t="shared" si="1"/>
        <v>9.0573401895959236E-5</v>
      </c>
      <c r="H22" s="30">
        <v>3256</v>
      </c>
      <c r="I22" s="72">
        <f t="shared" si="2"/>
        <v>5.6288921213143808E-4</v>
      </c>
      <c r="J22" s="31">
        <f t="shared" si="10"/>
        <v>4.7845583031172234E-4</v>
      </c>
      <c r="K22" s="32">
        <v>614.70000000000005</v>
      </c>
      <c r="L22" s="69">
        <f t="shared" si="3"/>
        <v>9.5812732634624129E-3</v>
      </c>
      <c r="M22" s="33">
        <f t="shared" si="11"/>
        <v>1.4371909895193619E-3</v>
      </c>
      <c r="N22" s="78">
        <f t="shared" si="12"/>
        <v>1.9156468198310843E-3</v>
      </c>
      <c r="O22" s="197">
        <v>355</v>
      </c>
      <c r="P22" s="197">
        <v>468</v>
      </c>
      <c r="Q22" s="198">
        <v>1.9393994637</v>
      </c>
      <c r="R22" s="199">
        <f t="shared" si="13"/>
        <v>4.3512095525785101E-4</v>
      </c>
      <c r="S22" s="200">
        <f t="shared" si="4"/>
        <v>8.43873347271708E-4</v>
      </c>
      <c r="T22" s="200">
        <f t="shared" si="14"/>
        <v>4.3768118508360012E-4</v>
      </c>
      <c r="U22" s="197">
        <f t="shared" si="15"/>
        <v>293356.50244630734</v>
      </c>
      <c r="V22" s="199">
        <f t="shared" si="5"/>
        <v>0.75854700854700852</v>
      </c>
      <c r="W22" s="199">
        <f t="shared" si="16"/>
        <v>1.0079763518707652E-2</v>
      </c>
      <c r="X22" s="197">
        <f t="shared" si="17"/>
        <v>1192231.2964088744</v>
      </c>
      <c r="Y22" s="32">
        <f t="shared" si="6"/>
        <v>1485587.7988551818</v>
      </c>
      <c r="Z22" s="201">
        <f t="shared" si="18"/>
        <v>1.8839935351272082E-3</v>
      </c>
      <c r="AB22" s="36">
        <f t="shared" si="7"/>
        <v>142839.91770530003</v>
      </c>
      <c r="AC22" s="37">
        <f t="shared" si="8"/>
        <v>1510547.4033723986</v>
      </c>
      <c r="AD22" s="37">
        <f t="shared" si="19"/>
        <v>1485587.798855182</v>
      </c>
      <c r="AE22" s="37">
        <f t="shared" si="20"/>
        <v>3138975.1199328806</v>
      </c>
      <c r="AF22" s="38">
        <f t="shared" si="21"/>
        <v>9.9519678968755239E-4</v>
      </c>
      <c r="AH22" s="230"/>
    </row>
    <row r="23" spans="1:34">
      <c r="A23" s="248">
        <v>29</v>
      </c>
      <c r="B23" s="4" t="s">
        <v>10</v>
      </c>
      <c r="C23" s="32">
        <v>10409374</v>
      </c>
      <c r="D23" s="32">
        <v>1519021</v>
      </c>
      <c r="E23" s="34">
        <f t="shared" si="0"/>
        <v>0.1459281797349197</v>
      </c>
      <c r="F23" s="35">
        <f t="shared" si="9"/>
        <v>221667.96950911745</v>
      </c>
      <c r="G23" s="78">
        <f t="shared" si="1"/>
        <v>8.7020149068479203E-5</v>
      </c>
      <c r="H23" s="30">
        <v>40903</v>
      </c>
      <c r="I23" s="72">
        <f t="shared" si="2"/>
        <v>7.0712092886401146E-3</v>
      </c>
      <c r="J23" s="31">
        <f t="shared" si="10"/>
        <v>6.0105278953440974E-3</v>
      </c>
      <c r="K23" s="32">
        <v>7068.3</v>
      </c>
      <c r="L23" s="69">
        <f t="shared" si="3"/>
        <v>0.11017295234770028</v>
      </c>
      <c r="M23" s="33">
        <f t="shared" si="11"/>
        <v>1.6525942852155039E-2</v>
      </c>
      <c r="N23" s="78">
        <f t="shared" si="12"/>
        <v>2.2536470747499135E-2</v>
      </c>
      <c r="O23" s="197">
        <v>23646</v>
      </c>
      <c r="P23" s="197">
        <v>15246</v>
      </c>
      <c r="Q23" s="198">
        <v>2.0430424666000002</v>
      </c>
      <c r="R23" s="199">
        <f t="shared" si="13"/>
        <v>1.4174901888592301E-2</v>
      </c>
      <c r="S23" s="200">
        <f t="shared" si="4"/>
        <v>2.8959926518282615E-2</v>
      </c>
      <c r="T23" s="200">
        <f t="shared" si="14"/>
        <v>1.5020281182520606E-2</v>
      </c>
      <c r="U23" s="197">
        <f t="shared" si="15"/>
        <v>10067367.078214014</v>
      </c>
      <c r="V23" s="199">
        <f t="shared" si="5"/>
        <v>1.5509641873278237</v>
      </c>
      <c r="W23" s="199">
        <f t="shared" si="16"/>
        <v>2.060960238205228E-2</v>
      </c>
      <c r="X23" s="197">
        <f t="shared" si="17"/>
        <v>2437697.3647072199</v>
      </c>
      <c r="Y23" s="32">
        <f t="shared" si="6"/>
        <v>12505064.442921234</v>
      </c>
      <c r="Z23" s="201">
        <f t="shared" si="18"/>
        <v>1.5858679362450358E-2</v>
      </c>
      <c r="AB23" s="36">
        <f t="shared" si="7"/>
        <v>137236.21583655069</v>
      </c>
      <c r="AC23" s="37">
        <f t="shared" si="8"/>
        <v>17770711.707607243</v>
      </c>
      <c r="AD23" s="37">
        <f t="shared" si="19"/>
        <v>12505064.442921234</v>
      </c>
      <c r="AE23" s="37">
        <f t="shared" si="20"/>
        <v>30413012.36636503</v>
      </c>
      <c r="AF23" s="38">
        <f t="shared" si="21"/>
        <v>9.6422976020216107E-3</v>
      </c>
      <c r="AH23" s="230"/>
    </row>
    <row r="24" spans="1:34">
      <c r="A24" s="248">
        <v>30</v>
      </c>
      <c r="B24" s="4" t="s">
        <v>133</v>
      </c>
      <c r="C24" s="32">
        <v>415292639</v>
      </c>
      <c r="D24" s="32">
        <v>99582374</v>
      </c>
      <c r="E24" s="34">
        <f t="shared" si="0"/>
        <v>0.23978843988130499</v>
      </c>
      <c r="F24" s="35">
        <f t="shared" si="9"/>
        <v>23878702.101136629</v>
      </c>
      <c r="G24" s="78">
        <f t="shared" si="1"/>
        <v>9.3740571585704431E-3</v>
      </c>
      <c r="H24" s="30">
        <v>397205</v>
      </c>
      <c r="I24" s="72">
        <f t="shared" si="2"/>
        <v>6.8667816186937305E-2</v>
      </c>
      <c r="J24" s="31">
        <f t="shared" si="10"/>
        <v>5.8367643758896706E-2</v>
      </c>
      <c r="K24" s="32">
        <v>1032</v>
      </c>
      <c r="L24" s="69">
        <f t="shared" si="3"/>
        <v>1.6085690593611857E-2</v>
      </c>
      <c r="M24" s="33">
        <f t="shared" si="11"/>
        <v>2.4128535890417784E-3</v>
      </c>
      <c r="N24" s="78">
        <f t="shared" si="12"/>
        <v>6.0780497347938486E-2</v>
      </c>
      <c r="O24" s="197">
        <v>49018</v>
      </c>
      <c r="P24" s="197">
        <v>87249</v>
      </c>
      <c r="Q24" s="198">
        <v>1.8532766358999999</v>
      </c>
      <c r="R24" s="199">
        <f t="shared" si="13"/>
        <v>8.1119376549769751E-2</v>
      </c>
      <c r="S24" s="200">
        <f t="shared" si="4"/>
        <v>0.15033664527846263</v>
      </c>
      <c r="T24" s="200">
        <f t="shared" si="14"/>
        <v>7.7973218705987155E-2</v>
      </c>
      <c r="U24" s="197">
        <f t="shared" si="15"/>
        <v>52261672.431042008</v>
      </c>
      <c r="V24" s="199">
        <f t="shared" si="5"/>
        <v>0.56181732741922541</v>
      </c>
      <c r="W24" s="199">
        <f t="shared" si="16"/>
        <v>7.4655700138420563E-3</v>
      </c>
      <c r="X24" s="197">
        <f t="shared" si="17"/>
        <v>883025.30109112209</v>
      </c>
      <c r="Y24" s="32">
        <f t="shared" si="6"/>
        <v>53144697.732133128</v>
      </c>
      <c r="Z24" s="201">
        <f t="shared" si="18"/>
        <v>6.7397071402165401E-2</v>
      </c>
      <c r="AB24" s="36">
        <f t="shared" si="7"/>
        <v>14783474.23267887</v>
      </c>
      <c r="AC24" s="37">
        <f t="shared" si="8"/>
        <v>47927322.246543922</v>
      </c>
      <c r="AD24" s="37">
        <f t="shared" si="19"/>
        <v>53144697.732133143</v>
      </c>
      <c r="AE24" s="37">
        <f t="shared" si="20"/>
        <v>115855494.21135592</v>
      </c>
      <c r="AF24" s="38">
        <f t="shared" si="21"/>
        <v>3.6731420766811185E-2</v>
      </c>
      <c r="AH24" s="230"/>
    </row>
    <row r="25" spans="1:34">
      <c r="A25" s="248">
        <v>32</v>
      </c>
      <c r="B25" s="4" t="s">
        <v>11</v>
      </c>
      <c r="C25" s="32">
        <v>4596412</v>
      </c>
      <c r="D25" s="32">
        <v>940088</v>
      </c>
      <c r="E25" s="34">
        <f t="shared" si="0"/>
        <v>0.20452648718174088</v>
      </c>
      <c r="F25" s="35">
        <f t="shared" si="9"/>
        <v>192272.89628170841</v>
      </c>
      <c r="G25" s="78">
        <f t="shared" si="1"/>
        <v>7.5480531234686641E-5</v>
      </c>
      <c r="H25" s="30">
        <v>5506</v>
      </c>
      <c r="I25" s="72">
        <f t="shared" si="2"/>
        <v>9.5186363697656574E-4</v>
      </c>
      <c r="J25" s="31">
        <f t="shared" si="10"/>
        <v>8.0908409143008091E-4</v>
      </c>
      <c r="K25" s="32">
        <v>1888.6</v>
      </c>
      <c r="L25" s="69">
        <f t="shared" si="3"/>
        <v>2.9437437262689294E-2</v>
      </c>
      <c r="M25" s="33">
        <f t="shared" si="11"/>
        <v>4.4156155894033936E-3</v>
      </c>
      <c r="N25" s="78">
        <f t="shared" si="12"/>
        <v>5.2246996808334749E-3</v>
      </c>
      <c r="O25" s="197">
        <v>2284</v>
      </c>
      <c r="P25" s="197">
        <v>950</v>
      </c>
      <c r="Q25" s="198">
        <v>2.0503201405999998</v>
      </c>
      <c r="R25" s="199">
        <f t="shared" si="13"/>
        <v>8.8325834934820178E-4</v>
      </c>
      <c r="S25" s="200">
        <f t="shared" si="4"/>
        <v>1.8109623830217289E-3</v>
      </c>
      <c r="T25" s="200">
        <f t="shared" si="14"/>
        <v>9.3926910300624043E-4</v>
      </c>
      <c r="U25" s="197">
        <f t="shared" si="15"/>
        <v>629546.59305531019</v>
      </c>
      <c r="V25" s="199">
        <f t="shared" si="5"/>
        <v>2.4042105263157896</v>
      </c>
      <c r="W25" s="199">
        <f t="shared" si="16"/>
        <v>3.1947754432346431E-2</v>
      </c>
      <c r="X25" s="197">
        <f t="shared" si="17"/>
        <v>3778770.4655507863</v>
      </c>
      <c r="Y25" s="32">
        <f t="shared" si="6"/>
        <v>4408317.0586060965</v>
      </c>
      <c r="Z25" s="201">
        <f t="shared" si="18"/>
        <v>5.5905419024072697E-3</v>
      </c>
      <c r="AB25" s="36">
        <f t="shared" si="7"/>
        <v>119037.51702182637</v>
      </c>
      <c r="AC25" s="37">
        <f t="shared" si="8"/>
        <v>4119839.0301295258</v>
      </c>
      <c r="AD25" s="37">
        <f t="shared" si="19"/>
        <v>4408317.0586060975</v>
      </c>
      <c r="AE25" s="37">
        <f t="shared" si="20"/>
        <v>8647193.6057574488</v>
      </c>
      <c r="AF25" s="38">
        <f t="shared" si="21"/>
        <v>2.7415506614275283E-3</v>
      </c>
      <c r="AH25" s="230"/>
    </row>
    <row r="26" spans="1:34">
      <c r="A26" s="248">
        <v>33</v>
      </c>
      <c r="B26" s="4" t="s">
        <v>12</v>
      </c>
      <c r="C26" s="32">
        <v>459479979</v>
      </c>
      <c r="D26" s="32">
        <v>167034920.86000001</v>
      </c>
      <c r="E26" s="34">
        <f t="shared" si="0"/>
        <v>0.36353035713009818</v>
      </c>
      <c r="F26" s="35">
        <f t="shared" si="9"/>
        <v>60722264.433433488</v>
      </c>
      <c r="G26" s="78">
        <f t="shared" si="1"/>
        <v>2.3837726823927333E-2</v>
      </c>
      <c r="H26" s="30">
        <v>481213</v>
      </c>
      <c r="I26" s="72">
        <f t="shared" si="2"/>
        <v>8.3190911067999293E-2</v>
      </c>
      <c r="J26" s="31">
        <f t="shared" si="10"/>
        <v>7.0712274407799397E-2</v>
      </c>
      <c r="K26" s="32">
        <v>149.4</v>
      </c>
      <c r="L26" s="69">
        <f t="shared" si="3"/>
        <v>2.3286842777961352E-3</v>
      </c>
      <c r="M26" s="33">
        <f t="shared" si="11"/>
        <v>3.4930264166942025E-4</v>
      </c>
      <c r="N26" s="78">
        <f t="shared" si="12"/>
        <v>7.1061577049468819E-2</v>
      </c>
      <c r="O26" s="197">
        <v>95635</v>
      </c>
      <c r="P26" s="197">
        <v>113990</v>
      </c>
      <c r="Q26" s="198">
        <v>1.9916235985999999</v>
      </c>
      <c r="R26" s="199">
        <f t="shared" si="13"/>
        <v>0.10598170446547529</v>
      </c>
      <c r="S26" s="200">
        <f t="shared" si="4"/>
        <v>0.21107566363329158</v>
      </c>
      <c r="T26" s="200">
        <f t="shared" si="14"/>
        <v>0.10947596212157762</v>
      </c>
      <c r="U26" s="197">
        <f t="shared" si="15"/>
        <v>73376435.735514104</v>
      </c>
      <c r="V26" s="199">
        <f t="shared" si="5"/>
        <v>0.83897710325467145</v>
      </c>
      <c r="W26" s="199">
        <f t="shared" si="16"/>
        <v>1.1148538855378512E-2</v>
      </c>
      <c r="X26" s="197">
        <f t="shared" si="17"/>
        <v>1318645.7110768389</v>
      </c>
      <c r="Y26" s="32">
        <f t="shared" si="6"/>
        <v>74695081.446590945</v>
      </c>
      <c r="Z26" s="201">
        <f t="shared" si="18"/>
        <v>9.4726848631647778E-2</v>
      </c>
      <c r="AB26" s="36">
        <f t="shared" si="7"/>
        <v>37593585.606097348</v>
      </c>
      <c r="AC26" s="37">
        <f t="shared" si="8"/>
        <v>56034274.992865242</v>
      </c>
      <c r="AD26" s="37">
        <f t="shared" si="19"/>
        <v>74695081.44659096</v>
      </c>
      <c r="AE26" s="37">
        <f t="shared" si="20"/>
        <v>168322942.04555357</v>
      </c>
      <c r="AF26" s="38">
        <f t="shared" si="21"/>
        <v>5.3365969832242802E-2</v>
      </c>
      <c r="AH26" s="230"/>
    </row>
    <row r="27" spans="1:34">
      <c r="A27" s="248">
        <v>34</v>
      </c>
      <c r="B27" s="4" t="s">
        <v>134</v>
      </c>
      <c r="C27" s="32">
        <v>12996129</v>
      </c>
      <c r="D27" s="32">
        <v>4545524</v>
      </c>
      <c r="E27" s="34">
        <f t="shared" si="0"/>
        <v>0.34975984002621086</v>
      </c>
      <c r="F27" s="35">
        <f t="shared" si="9"/>
        <v>1589841.7470753021</v>
      </c>
      <c r="G27" s="78">
        <f t="shared" si="1"/>
        <v>6.2412384672515253E-4</v>
      </c>
      <c r="H27" s="30">
        <v>14109</v>
      </c>
      <c r="I27" s="72">
        <f t="shared" si="2"/>
        <v>2.4391289600621804E-3</v>
      </c>
      <c r="J27" s="31">
        <f t="shared" si="10"/>
        <v>2.0732596160528533E-3</v>
      </c>
      <c r="K27" s="32">
        <v>2478.8000000000002</v>
      </c>
      <c r="L27" s="69">
        <f t="shared" si="3"/>
        <v>3.8636831243648327E-2</v>
      </c>
      <c r="M27" s="33">
        <f t="shared" si="11"/>
        <v>5.7955246865472486E-3</v>
      </c>
      <c r="N27" s="78">
        <f t="shared" si="12"/>
        <v>7.8687843026001014E-3</v>
      </c>
      <c r="O27" s="197">
        <v>5621</v>
      </c>
      <c r="P27" s="197">
        <v>1660</v>
      </c>
      <c r="Q27" s="198">
        <v>2.1173054283999999</v>
      </c>
      <c r="R27" s="199">
        <f t="shared" si="13"/>
        <v>1.543377747282121E-3</v>
      </c>
      <c r="S27" s="200">
        <f t="shared" si="4"/>
        <v>3.2678020823921979E-3</v>
      </c>
      <c r="T27" s="200">
        <f t="shared" si="14"/>
        <v>1.6948698435187855E-3</v>
      </c>
      <c r="U27" s="197">
        <f t="shared" si="15"/>
        <v>1135989.1773767299</v>
      </c>
      <c r="V27" s="199">
        <f t="shared" si="5"/>
        <v>3.3861445783132531</v>
      </c>
      <c r="W27" s="199">
        <f t="shared" si="16"/>
        <v>4.499594119411314E-2</v>
      </c>
      <c r="X27" s="197">
        <f t="shared" si="17"/>
        <v>5322105.9406235944</v>
      </c>
      <c r="Y27" s="32">
        <f t="shared" si="6"/>
        <v>6458095.1180003248</v>
      </c>
      <c r="Z27" s="201">
        <f t="shared" si="18"/>
        <v>8.1900305461079393E-3</v>
      </c>
      <c r="AB27" s="36">
        <f t="shared" si="7"/>
        <v>984282.32834338676</v>
      </c>
      <c r="AC27" s="37">
        <f t="shared" si="8"/>
        <v>6204782.4123645918</v>
      </c>
      <c r="AD27" s="37">
        <f t="shared" si="19"/>
        <v>6458095.1180003257</v>
      </c>
      <c r="AE27" s="37">
        <f t="shared" si="20"/>
        <v>13647159.858708303</v>
      </c>
      <c r="AF27" s="38">
        <f t="shared" si="21"/>
        <v>4.3267656355395851E-3</v>
      </c>
      <c r="AH27" s="230"/>
    </row>
    <row r="28" spans="1:34">
      <c r="A28" s="248">
        <v>35</v>
      </c>
      <c r="B28" s="4" t="s">
        <v>13</v>
      </c>
      <c r="C28" s="32">
        <v>844965</v>
      </c>
      <c r="D28" s="32">
        <v>298339</v>
      </c>
      <c r="E28" s="34">
        <f t="shared" si="0"/>
        <v>0.35307852987993588</v>
      </c>
      <c r="F28" s="35">
        <f t="shared" si="9"/>
        <v>105337.09552585019</v>
      </c>
      <c r="G28" s="78">
        <f t="shared" si="1"/>
        <v>4.1352161863525763E-5</v>
      </c>
      <c r="H28" s="30">
        <v>1808</v>
      </c>
      <c r="I28" s="72">
        <f t="shared" si="2"/>
        <v>3.1256256005332924E-4</v>
      </c>
      <c r="J28" s="31">
        <f t="shared" si="10"/>
        <v>2.6567817604532983E-4</v>
      </c>
      <c r="K28" s="32">
        <v>387.9</v>
      </c>
      <c r="L28" s="69">
        <f t="shared" si="3"/>
        <v>6.0461621911453867E-3</v>
      </c>
      <c r="M28" s="33">
        <f t="shared" si="11"/>
        <v>9.0692432867180801E-4</v>
      </c>
      <c r="N28" s="78">
        <f t="shared" si="12"/>
        <v>1.1726025047171379E-3</v>
      </c>
      <c r="O28" s="197">
        <v>196</v>
      </c>
      <c r="P28" s="197">
        <v>185</v>
      </c>
      <c r="Q28" s="198">
        <v>1.7757863003000001</v>
      </c>
      <c r="R28" s="199">
        <f t="shared" si="13"/>
        <v>1.7200294171517615E-4</v>
      </c>
      <c r="S28" s="200">
        <f t="shared" si="4"/>
        <v>3.054404675091092E-4</v>
      </c>
      <c r="T28" s="200">
        <f t="shared" si="14"/>
        <v>1.5841896917835949E-4</v>
      </c>
      <c r="U28" s="197">
        <f t="shared" si="15"/>
        <v>106180.56316594052</v>
      </c>
      <c r="V28" s="199">
        <f t="shared" si="5"/>
        <v>1.0594594594594595</v>
      </c>
      <c r="W28" s="199">
        <f t="shared" si="16"/>
        <v>1.4078363883426199E-2</v>
      </c>
      <c r="X28" s="197">
        <f t="shared" si="17"/>
        <v>1665184.5048647618</v>
      </c>
      <c r="Y28" s="32">
        <f t="shared" si="6"/>
        <v>1771365.0680307024</v>
      </c>
      <c r="Z28" s="201">
        <f t="shared" si="18"/>
        <v>2.2464107063155355E-3</v>
      </c>
      <c r="AB28" s="36">
        <f t="shared" si="7"/>
        <v>65214.944717515187</v>
      </c>
      <c r="AC28" s="37">
        <f t="shared" si="8"/>
        <v>924633.73224748624</v>
      </c>
      <c r="AD28" s="37">
        <f t="shared" si="19"/>
        <v>1771365.0680307026</v>
      </c>
      <c r="AE28" s="37">
        <f t="shared" si="20"/>
        <v>2761213.7449957039</v>
      </c>
      <c r="AF28" s="38">
        <f t="shared" si="21"/>
        <v>8.754293836899309E-4</v>
      </c>
      <c r="AH28" s="230"/>
    </row>
    <row r="29" spans="1:34">
      <c r="A29" s="248">
        <v>61</v>
      </c>
      <c r="B29" s="4" t="s">
        <v>14</v>
      </c>
      <c r="C29" s="32">
        <v>1658016</v>
      </c>
      <c r="D29" s="32">
        <v>227416</v>
      </c>
      <c r="E29" s="34">
        <f t="shared" si="0"/>
        <v>0.13716152316986086</v>
      </c>
      <c r="F29" s="35">
        <f t="shared" si="9"/>
        <v>31192.724953197077</v>
      </c>
      <c r="G29" s="78">
        <f t="shared" si="1"/>
        <v>1.2245321600997634E-5</v>
      </c>
      <c r="H29" s="30">
        <v>6282</v>
      </c>
      <c r="I29" s="72">
        <f t="shared" si="2"/>
        <v>1.0860165941675964E-3</v>
      </c>
      <c r="J29" s="31">
        <f t="shared" si="10"/>
        <v>9.2311410504245688E-4</v>
      </c>
      <c r="K29" s="32">
        <v>1306.7</v>
      </c>
      <c r="L29" s="69">
        <f t="shared" si="3"/>
        <v>2.0367414630496718E-2</v>
      </c>
      <c r="M29" s="33">
        <f t="shared" si="11"/>
        <v>3.0551121945745076E-3</v>
      </c>
      <c r="N29" s="78">
        <f t="shared" si="12"/>
        <v>3.9782262996169646E-3</v>
      </c>
      <c r="O29" s="197">
        <v>3611</v>
      </c>
      <c r="P29" s="197">
        <v>3897</v>
      </c>
      <c r="Q29" s="198">
        <v>2.6101222018999999</v>
      </c>
      <c r="R29" s="199">
        <f t="shared" si="13"/>
        <v>3.6232187235894133E-3</v>
      </c>
      <c r="S29" s="200">
        <f t="shared" si="4"/>
        <v>9.4570436327805069E-3</v>
      </c>
      <c r="T29" s="200">
        <f t="shared" si="14"/>
        <v>4.9049659856717437E-3</v>
      </c>
      <c r="U29" s="197">
        <f t="shared" si="15"/>
        <v>3287561.1637268043</v>
      </c>
      <c r="V29" s="199">
        <f t="shared" si="5"/>
        <v>0.92661021298434698</v>
      </c>
      <c r="W29" s="199">
        <f t="shared" si="16"/>
        <v>1.2313029668118099E-2</v>
      </c>
      <c r="X29" s="197">
        <f t="shared" si="17"/>
        <v>1456381.3225078047</v>
      </c>
      <c r="Y29" s="32">
        <f t="shared" si="6"/>
        <v>4743942.486234609</v>
      </c>
      <c r="Z29" s="201">
        <f t="shared" si="18"/>
        <v>6.0161755380386981E-3</v>
      </c>
      <c r="AB29" s="36">
        <f t="shared" si="7"/>
        <v>19311.637778281005</v>
      </c>
      <c r="AC29" s="37">
        <f t="shared" si="8"/>
        <v>3136955.8024500948</v>
      </c>
      <c r="AD29" s="37">
        <f t="shared" si="19"/>
        <v>4743942.48623461</v>
      </c>
      <c r="AE29" s="37">
        <f t="shared" si="20"/>
        <v>7900209.9264629856</v>
      </c>
      <c r="AF29" s="38">
        <f t="shared" si="21"/>
        <v>2.5047231202144134E-3</v>
      </c>
      <c r="AH29" s="230"/>
    </row>
    <row r="30" spans="1:34">
      <c r="A30" s="248">
        <v>36</v>
      </c>
      <c r="B30" s="4" t="s">
        <v>15</v>
      </c>
      <c r="C30" s="32">
        <v>69984471</v>
      </c>
      <c r="D30" s="32">
        <v>16361057</v>
      </c>
      <c r="E30" s="34">
        <f t="shared" si="0"/>
        <v>0.23378124841438039</v>
      </c>
      <c r="F30" s="35">
        <f t="shared" si="9"/>
        <v>3824908.3308388372</v>
      </c>
      <c r="G30" s="78">
        <f t="shared" si="1"/>
        <v>1.5015434745035336E-3</v>
      </c>
      <c r="H30" s="30">
        <v>102149</v>
      </c>
      <c r="I30" s="72">
        <f t="shared" si="2"/>
        <v>1.7659266010446643E-2</v>
      </c>
      <c r="J30" s="31">
        <f t="shared" si="10"/>
        <v>1.5010376108879647E-2</v>
      </c>
      <c r="K30" s="32">
        <v>184.5</v>
      </c>
      <c r="L30" s="69">
        <f t="shared" si="3"/>
        <v>2.8757848008928175E-3</v>
      </c>
      <c r="M30" s="33">
        <f t="shared" si="11"/>
        <v>4.3136772013392259E-4</v>
      </c>
      <c r="N30" s="78">
        <f t="shared" si="12"/>
        <v>1.544174382901357E-2</v>
      </c>
      <c r="O30" s="197">
        <v>12989</v>
      </c>
      <c r="P30" s="197">
        <v>23008</v>
      </c>
      <c r="Q30" s="198">
        <v>1.8972127424</v>
      </c>
      <c r="R30" s="199">
        <f t="shared" si="13"/>
        <v>2.1391587475582556E-2</v>
      </c>
      <c r="S30" s="200">
        <f t="shared" si="4"/>
        <v>4.0584392338839474E-2</v>
      </c>
      <c r="T30" s="200">
        <f t="shared" si="14"/>
        <v>2.1049396798927165E-2</v>
      </c>
      <c r="U30" s="197">
        <f t="shared" si="15"/>
        <v>14108391.299384523</v>
      </c>
      <c r="V30" s="199">
        <f t="shared" si="5"/>
        <v>0.56454276773296241</v>
      </c>
      <c r="W30" s="199">
        <f t="shared" si="16"/>
        <v>7.5017863505189922E-3</v>
      </c>
      <c r="X30" s="197">
        <f t="shared" si="17"/>
        <v>887308.95813797507</v>
      </c>
      <c r="Y30" s="32">
        <f t="shared" si="6"/>
        <v>14995700.257522497</v>
      </c>
      <c r="Z30" s="201">
        <f t="shared" si="18"/>
        <v>1.901725523166594E-2</v>
      </c>
      <c r="AB30" s="36">
        <f t="shared" si="7"/>
        <v>2368027.9402046362</v>
      </c>
      <c r="AC30" s="37">
        <f t="shared" si="8"/>
        <v>12176297.740788657</v>
      </c>
      <c r="AD30" s="37">
        <f t="shared" si="19"/>
        <v>14995700.257522499</v>
      </c>
      <c r="AE30" s="37">
        <f t="shared" si="20"/>
        <v>29540025.93851579</v>
      </c>
      <c r="AF30" s="38">
        <f t="shared" si="21"/>
        <v>9.3655215024216407E-3</v>
      </c>
      <c r="AH30" s="230"/>
    </row>
    <row r="31" spans="1:34">
      <c r="A31" s="248">
        <v>28</v>
      </c>
      <c r="B31" s="4" t="s">
        <v>16</v>
      </c>
      <c r="C31" s="32">
        <v>534177051</v>
      </c>
      <c r="D31" s="32">
        <v>367511761.92000002</v>
      </c>
      <c r="E31" s="34">
        <f t="shared" si="0"/>
        <v>0.68799616387863138</v>
      </c>
      <c r="F31" s="35">
        <f t="shared" si="9"/>
        <v>252846682.38123688</v>
      </c>
      <c r="G31" s="78">
        <f t="shared" si="1"/>
        <v>9.9259969949698351E-2</v>
      </c>
      <c r="H31" s="30">
        <v>643143</v>
      </c>
      <c r="I31" s="72">
        <f t="shared" si="2"/>
        <v>0.11118496823029775</v>
      </c>
      <c r="J31" s="31">
        <f t="shared" si="10"/>
        <v>9.4507222995753079E-2</v>
      </c>
      <c r="K31" s="32">
        <v>118.4</v>
      </c>
      <c r="L31" s="69">
        <f t="shared" si="3"/>
        <v>1.8454900836081822E-3</v>
      </c>
      <c r="M31" s="33">
        <f t="shared" si="11"/>
        <v>2.7682351254122733E-4</v>
      </c>
      <c r="N31" s="78">
        <f t="shared" si="12"/>
        <v>9.4784046508294306E-2</v>
      </c>
      <c r="O31" s="197">
        <v>113831</v>
      </c>
      <c r="P31" s="197">
        <v>95688</v>
      </c>
      <c r="Q31" s="198">
        <v>1.8797706219999999</v>
      </c>
      <c r="R31" s="199">
        <f t="shared" si="13"/>
        <v>8.8965499928874453E-2</v>
      </c>
      <c r="S31" s="200">
        <f t="shared" si="4"/>
        <v>0.16723473313784129</v>
      </c>
      <c r="T31" s="200">
        <f t="shared" si="14"/>
        <v>8.6737537597976422E-2</v>
      </c>
      <c r="U31" s="197">
        <f t="shared" si="15"/>
        <v>58135970.948093809</v>
      </c>
      <c r="V31" s="199">
        <f t="shared" si="5"/>
        <v>1.1896058021904523</v>
      </c>
      <c r="W31" s="199">
        <f t="shared" si="16"/>
        <v>1.5807781233665195E-2</v>
      </c>
      <c r="X31" s="197">
        <f t="shared" si="17"/>
        <v>1869739.451583571</v>
      </c>
      <c r="Y31" s="32">
        <f t="shared" si="6"/>
        <v>60005710.399677381</v>
      </c>
      <c r="Z31" s="201">
        <f t="shared" si="18"/>
        <v>7.6098074143329753E-2</v>
      </c>
      <c r="AB31" s="36">
        <f t="shared" si="7"/>
        <v>156539178.63581985</v>
      </c>
      <c r="AC31" s="37">
        <f t="shared" si="8"/>
        <v>74740183.760416448</v>
      </c>
      <c r="AD31" s="37">
        <f t="shared" si="19"/>
        <v>60005710.399677396</v>
      </c>
      <c r="AE31" s="37">
        <f t="shared" si="20"/>
        <v>291285072.7959137</v>
      </c>
      <c r="AF31" s="38">
        <f t="shared" si="21"/>
        <v>9.2350515137755163E-2</v>
      </c>
      <c r="AH31" s="230"/>
    </row>
    <row r="32" spans="1:34">
      <c r="A32" s="248">
        <v>37</v>
      </c>
      <c r="B32" s="4" t="s">
        <v>135</v>
      </c>
      <c r="C32" s="32">
        <v>1059673</v>
      </c>
      <c r="D32" s="32">
        <v>291621.78000000003</v>
      </c>
      <c r="E32" s="34">
        <f t="shared" si="0"/>
        <v>0.27519978332938561</v>
      </c>
      <c r="F32" s="35">
        <f t="shared" si="9"/>
        <v>80254.250670129768</v>
      </c>
      <c r="G32" s="78">
        <f t="shared" si="1"/>
        <v>3.1505394632157448E-5</v>
      </c>
      <c r="H32" s="30">
        <v>1959</v>
      </c>
      <c r="I32" s="72">
        <f t="shared" si="2"/>
        <v>3.3866706589849116E-4</v>
      </c>
      <c r="J32" s="31">
        <f t="shared" si="10"/>
        <v>2.8786700601371749E-4</v>
      </c>
      <c r="K32" s="32">
        <v>496.6</v>
      </c>
      <c r="L32" s="69">
        <f t="shared" si="3"/>
        <v>7.7404592527012097E-3</v>
      </c>
      <c r="M32" s="33">
        <f t="shared" si="11"/>
        <v>1.1610688879051814E-3</v>
      </c>
      <c r="N32" s="78">
        <f t="shared" si="12"/>
        <v>1.4489358939188989E-3</v>
      </c>
      <c r="O32" s="197">
        <v>188</v>
      </c>
      <c r="P32" s="197">
        <v>192</v>
      </c>
      <c r="Q32" s="198">
        <v>1.9505591721</v>
      </c>
      <c r="R32" s="199">
        <f t="shared" si="13"/>
        <v>1.7851116113142606E-4</v>
      </c>
      <c r="S32" s="200">
        <f t="shared" si="4"/>
        <v>3.4819658266712413E-4</v>
      </c>
      <c r="T32" s="200">
        <f t="shared" si="14"/>
        <v>1.8059474616246836E-4</v>
      </c>
      <c r="U32" s="197">
        <f t="shared" si="15"/>
        <v>121043.91255539376</v>
      </c>
      <c r="V32" s="199">
        <f t="shared" si="5"/>
        <v>0.97916666666666663</v>
      </c>
      <c r="W32" s="199">
        <f t="shared" si="16"/>
        <v>1.3011413049148681E-2</v>
      </c>
      <c r="X32" s="197">
        <f t="shared" si="17"/>
        <v>1538985.8917728639</v>
      </c>
      <c r="Y32" s="32">
        <f t="shared" si="6"/>
        <v>1660029.8043282577</v>
      </c>
      <c r="Z32" s="201">
        <f t="shared" si="18"/>
        <v>2.1052174916104003E-3</v>
      </c>
      <c r="AB32" s="36">
        <f t="shared" si="7"/>
        <v>49685.977144810553</v>
      </c>
      <c r="AC32" s="37">
        <f t="shared" si="8"/>
        <v>1142531.2482210314</v>
      </c>
      <c r="AD32" s="37">
        <f t="shared" si="19"/>
        <v>1660029.8043282579</v>
      </c>
      <c r="AE32" s="37">
        <f t="shared" si="20"/>
        <v>2852247.0296940999</v>
      </c>
      <c r="AF32" s="38">
        <f t="shared" si="21"/>
        <v>9.0429104369840329E-4</v>
      </c>
      <c r="AH32" s="230"/>
    </row>
    <row r="33" spans="1:34">
      <c r="A33" s="248">
        <v>39</v>
      </c>
      <c r="B33" s="4" t="s">
        <v>17</v>
      </c>
      <c r="C33" s="32">
        <v>2387896</v>
      </c>
      <c r="D33" s="32">
        <v>630053</v>
      </c>
      <c r="E33" s="34">
        <f t="shared" si="0"/>
        <v>0.2638527808581278</v>
      </c>
      <c r="F33" s="35">
        <f t="shared" si="9"/>
        <v>166241.236138006</v>
      </c>
      <c r="G33" s="78">
        <f t="shared" si="1"/>
        <v>6.5261287781419935E-5</v>
      </c>
      <c r="H33" s="30">
        <v>16086</v>
      </c>
      <c r="I33" s="72">
        <f t="shared" si="2"/>
        <v>2.7809078213594327E-3</v>
      </c>
      <c r="J33" s="31">
        <f t="shared" si="10"/>
        <v>2.3637716481555177E-3</v>
      </c>
      <c r="K33" s="32">
        <v>170.6</v>
      </c>
      <c r="L33" s="69">
        <f t="shared" si="3"/>
        <v>2.6591267589827351E-3</v>
      </c>
      <c r="M33" s="33">
        <f t="shared" si="11"/>
        <v>3.9886901384741024E-4</v>
      </c>
      <c r="N33" s="78">
        <f t="shared" si="12"/>
        <v>2.762640662002928E-3</v>
      </c>
      <c r="O33" s="197">
        <v>3006</v>
      </c>
      <c r="P33" s="197">
        <v>3272</v>
      </c>
      <c r="Q33" s="198">
        <v>1.6415123341</v>
      </c>
      <c r="R33" s="199">
        <f t="shared" si="13"/>
        <v>3.0421277042813858E-3</v>
      </c>
      <c r="S33" s="200">
        <f t="shared" si="4"/>
        <v>4.9936901484852123E-3</v>
      </c>
      <c r="T33" s="200">
        <f t="shared" si="14"/>
        <v>2.5900145195906737E-3</v>
      </c>
      <c r="U33" s="197">
        <f t="shared" si="15"/>
        <v>1735961.3039046822</v>
      </c>
      <c r="V33" s="199">
        <f t="shared" si="5"/>
        <v>0.91870415647921755</v>
      </c>
      <c r="W33" s="199">
        <f t="shared" si="16"/>
        <v>1.2207971999919139E-2</v>
      </c>
      <c r="X33" s="197">
        <f t="shared" si="17"/>
        <v>1443955.1341630013</v>
      </c>
      <c r="Y33" s="32">
        <f t="shared" si="6"/>
        <v>3179916.4380676835</v>
      </c>
      <c r="Z33" s="201">
        <f t="shared" si="18"/>
        <v>4.032708141639944E-3</v>
      </c>
      <c r="AB33" s="36">
        <f t="shared" si="7"/>
        <v>102921.13115887951</v>
      </c>
      <c r="AC33" s="37">
        <f t="shared" si="8"/>
        <v>2178428.5261974842</v>
      </c>
      <c r="AD33" s="37">
        <f t="shared" si="19"/>
        <v>3179916.438067684</v>
      </c>
      <c r="AE33" s="37">
        <f t="shared" si="20"/>
        <v>5461266.0954240477</v>
      </c>
      <c r="AF33" s="38">
        <f t="shared" si="21"/>
        <v>1.7314678448014274E-3</v>
      </c>
      <c r="AH33" s="230"/>
    </row>
    <row r="34" spans="1:34">
      <c r="A34" s="248">
        <v>38</v>
      </c>
      <c r="B34" s="4" t="s">
        <v>18</v>
      </c>
      <c r="C34" s="32">
        <v>708159</v>
      </c>
      <c r="D34" s="32">
        <v>344639</v>
      </c>
      <c r="E34" s="34">
        <f t="shared" si="0"/>
        <v>0.48666895428851431</v>
      </c>
      <c r="F34" s="35">
        <f t="shared" si="9"/>
        <v>167725.10173703928</v>
      </c>
      <c r="G34" s="78">
        <f t="shared" si="1"/>
        <v>6.5843808593567103E-5</v>
      </c>
      <c r="H34" s="30">
        <v>1386</v>
      </c>
      <c r="I34" s="72">
        <f t="shared" si="2"/>
        <v>2.3960824570459864E-4</v>
      </c>
      <c r="J34" s="31">
        <f t="shared" si="10"/>
        <v>2.0366700884890884E-4</v>
      </c>
      <c r="K34" s="32">
        <v>443.2</v>
      </c>
      <c r="L34" s="69">
        <f t="shared" si="3"/>
        <v>6.9081182859387349E-3</v>
      </c>
      <c r="M34" s="33">
        <f t="shared" si="11"/>
        <v>1.0362177428908102E-3</v>
      </c>
      <c r="N34" s="78">
        <f t="shared" si="12"/>
        <v>1.239884751739719E-3</v>
      </c>
      <c r="O34" s="197">
        <v>237</v>
      </c>
      <c r="P34" s="197">
        <v>131</v>
      </c>
      <c r="Q34" s="198">
        <v>2.2584083591000002</v>
      </c>
      <c r="R34" s="199">
        <f t="shared" si="13"/>
        <v>1.2179667764696256E-4</v>
      </c>
      <c r="S34" s="200">
        <f t="shared" si="4"/>
        <v>2.7506663490850839E-4</v>
      </c>
      <c r="T34" s="200">
        <f t="shared" si="14"/>
        <v>1.426653550949875E-4</v>
      </c>
      <c r="U34" s="197">
        <f t="shared" si="15"/>
        <v>95621.678557948573</v>
      </c>
      <c r="V34" s="199">
        <f t="shared" si="5"/>
        <v>1.8091603053435115</v>
      </c>
      <c r="W34" s="199">
        <f t="shared" si="16"/>
        <v>2.4040577366755789E-2</v>
      </c>
      <c r="X34" s="197">
        <f t="shared" si="17"/>
        <v>2843512.0196212605</v>
      </c>
      <c r="Y34" s="32">
        <f t="shared" si="6"/>
        <v>2939133.6981792091</v>
      </c>
      <c r="Z34" s="201">
        <f t="shared" si="18"/>
        <v>3.7273521568441082E-3</v>
      </c>
      <c r="AB34" s="36">
        <f t="shared" si="7"/>
        <v>103839.80290054937</v>
      </c>
      <c r="AC34" s="37">
        <f t="shared" si="8"/>
        <v>977687.88736673829</v>
      </c>
      <c r="AD34" s="37">
        <f t="shared" si="19"/>
        <v>2939133.6981792096</v>
      </c>
      <c r="AE34" s="37">
        <f t="shared" si="20"/>
        <v>4020661.3884464973</v>
      </c>
      <c r="AF34" s="38">
        <f t="shared" si="21"/>
        <v>1.27473113144274E-3</v>
      </c>
      <c r="AH34" s="230"/>
    </row>
    <row r="35" spans="1:34">
      <c r="A35" s="248">
        <v>40</v>
      </c>
      <c r="B35" s="4" t="s">
        <v>19</v>
      </c>
      <c r="C35" s="32">
        <v>2080067</v>
      </c>
      <c r="D35" s="32">
        <v>650893</v>
      </c>
      <c r="E35" s="34">
        <f t="shared" si="0"/>
        <v>0.31291924731270676</v>
      </c>
      <c r="F35" s="35">
        <f t="shared" si="9"/>
        <v>203676.94764110964</v>
      </c>
      <c r="G35" s="78">
        <f t="shared" si="1"/>
        <v>7.9957417324622485E-5</v>
      </c>
      <c r="H35" s="30">
        <v>7026</v>
      </c>
      <c r="I35" s="72">
        <f t="shared" si="2"/>
        <v>1.2146374706497186E-3</v>
      </c>
      <c r="J35" s="31">
        <f t="shared" si="10"/>
        <v>1.0324418500522608E-3</v>
      </c>
      <c r="K35" s="32">
        <v>127.8</v>
      </c>
      <c r="L35" s="69">
        <f t="shared" si="3"/>
        <v>1.9920070328135614E-3</v>
      </c>
      <c r="M35" s="33">
        <f t="shared" si="11"/>
        <v>2.9880105492203422E-4</v>
      </c>
      <c r="N35" s="78">
        <f t="shared" si="12"/>
        <v>1.331242904974295E-3</v>
      </c>
      <c r="O35" s="197">
        <v>2843</v>
      </c>
      <c r="P35" s="197">
        <v>1571</v>
      </c>
      <c r="Q35" s="198">
        <v>1.4705313694</v>
      </c>
      <c r="R35" s="199">
        <f t="shared" si="13"/>
        <v>1.4606303861326581E-3</v>
      </c>
      <c r="S35" s="200">
        <f t="shared" si="4"/>
        <v>2.1479028019069082E-3</v>
      </c>
      <c r="T35" s="200">
        <f t="shared" si="14"/>
        <v>1.1140257561426585E-3</v>
      </c>
      <c r="U35" s="197">
        <f t="shared" si="15"/>
        <v>746677.51458105491</v>
      </c>
      <c r="V35" s="199">
        <f t="shared" si="5"/>
        <v>1.8096753660089115</v>
      </c>
      <c r="W35" s="199">
        <f t="shared" si="16"/>
        <v>2.4047421622479592E-2</v>
      </c>
      <c r="X35" s="197">
        <f t="shared" si="17"/>
        <v>2844321.5560612176</v>
      </c>
      <c r="Y35" s="32">
        <f t="shared" si="6"/>
        <v>3590999.0706422725</v>
      </c>
      <c r="Z35" s="201">
        <f t="shared" si="18"/>
        <v>4.5540351360931989E-3</v>
      </c>
      <c r="AB35" s="36">
        <f t="shared" si="7"/>
        <v>126097.84629373558</v>
      </c>
      <c r="AC35" s="37">
        <f t="shared" si="8"/>
        <v>1049726.647182368</v>
      </c>
      <c r="AD35" s="37">
        <f t="shared" si="19"/>
        <v>3590999.0706422729</v>
      </c>
      <c r="AE35" s="37">
        <f t="shared" si="20"/>
        <v>4766823.564118376</v>
      </c>
      <c r="AF35" s="38">
        <f t="shared" si="21"/>
        <v>1.5112982189291841E-3</v>
      </c>
      <c r="AH35" s="230"/>
    </row>
    <row r="36" spans="1:34">
      <c r="A36" s="248">
        <v>41</v>
      </c>
      <c r="B36" s="4" t="s">
        <v>20</v>
      </c>
      <c r="C36" s="32">
        <v>619036</v>
      </c>
      <c r="D36" s="32">
        <v>121874</v>
      </c>
      <c r="E36" s="34">
        <f t="shared" si="0"/>
        <v>0.19687707984672942</v>
      </c>
      <c r="F36" s="35">
        <f t="shared" si="9"/>
        <v>23994.197229240301</v>
      </c>
      <c r="G36" s="78">
        <f t="shared" si="1"/>
        <v>9.4193970571878259E-6</v>
      </c>
      <c r="H36" s="30">
        <v>3298</v>
      </c>
      <c r="I36" s="72">
        <f t="shared" si="2"/>
        <v>5.7015006806188052E-4</v>
      </c>
      <c r="J36" s="31">
        <f t="shared" si="10"/>
        <v>4.8462755785259843E-4</v>
      </c>
      <c r="K36" s="32">
        <v>560.5</v>
      </c>
      <c r="L36" s="69">
        <f t="shared" si="3"/>
        <v>8.7364627691079895E-3</v>
      </c>
      <c r="M36" s="33">
        <f t="shared" si="11"/>
        <v>1.3104694153661983E-3</v>
      </c>
      <c r="N36" s="78">
        <f t="shared" si="12"/>
        <v>1.7950969732187967E-3</v>
      </c>
      <c r="O36" s="197">
        <v>2022</v>
      </c>
      <c r="P36" s="197">
        <v>1144</v>
      </c>
      <c r="Q36" s="198">
        <v>2.2004042460000002</v>
      </c>
      <c r="R36" s="199">
        <f t="shared" si="13"/>
        <v>1.0636290017414136E-3</v>
      </c>
      <c r="S36" s="200">
        <f t="shared" si="4"/>
        <v>2.3404137716005482E-3</v>
      </c>
      <c r="T36" s="200">
        <f t="shared" si="14"/>
        <v>1.2138730017388346E-3</v>
      </c>
      <c r="U36" s="197">
        <f t="shared" si="15"/>
        <v>813600.28792667389</v>
      </c>
      <c r="V36" s="199">
        <f t="shared" si="5"/>
        <v>1.7674825174825175</v>
      </c>
      <c r="W36" s="199">
        <f t="shared" si="16"/>
        <v>2.3486752434499599E-2</v>
      </c>
      <c r="X36" s="197">
        <f t="shared" si="17"/>
        <v>2778005.7787514338</v>
      </c>
      <c r="Y36" s="32">
        <f t="shared" si="6"/>
        <v>3591606.0666781077</v>
      </c>
      <c r="Z36" s="201">
        <f t="shared" si="18"/>
        <v>4.5548049166529497E-3</v>
      </c>
      <c r="AB36" s="36">
        <f t="shared" si="7"/>
        <v>14854.978087582242</v>
      </c>
      <c r="AC36" s="37">
        <f t="shared" si="8"/>
        <v>1415490.0807531965</v>
      </c>
      <c r="AD36" s="37">
        <f t="shared" si="19"/>
        <v>3591606.0666781082</v>
      </c>
      <c r="AE36" s="37">
        <f t="shared" si="20"/>
        <v>5021951.1255188864</v>
      </c>
      <c r="AF36" s="38">
        <f t="shared" si="21"/>
        <v>1.59218517099653E-3</v>
      </c>
      <c r="AH36" s="230"/>
    </row>
    <row r="37" spans="1:34">
      <c r="A37" s="248">
        <v>42</v>
      </c>
      <c r="B37" s="4" t="s">
        <v>136</v>
      </c>
      <c r="C37" s="32">
        <v>593222877</v>
      </c>
      <c r="D37" s="32">
        <v>127211041.94</v>
      </c>
      <c r="E37" s="34">
        <f t="shared" si="0"/>
        <v>0.21444055324252101</v>
      </c>
      <c r="F37" s="35">
        <f t="shared" si="9"/>
        <v>27279206.212171141</v>
      </c>
      <c r="G37" s="78">
        <f t="shared" si="1"/>
        <v>1.0708992356043926E-2</v>
      </c>
      <c r="H37" s="30">
        <v>471523</v>
      </c>
      <c r="I37" s="72">
        <f t="shared" si="2"/>
        <v>8.1515727878332944E-2</v>
      </c>
      <c r="J37" s="31">
        <f t="shared" si="10"/>
        <v>6.9288368696583003E-2</v>
      </c>
      <c r="K37" s="32">
        <v>247.3</v>
      </c>
      <c r="L37" s="69">
        <f t="shared" si="3"/>
        <v>3.8546427168606708E-3</v>
      </c>
      <c r="M37" s="33">
        <f t="shared" si="11"/>
        <v>5.7819640752910064E-4</v>
      </c>
      <c r="N37" s="78">
        <f t="shared" si="12"/>
        <v>6.9866565104112099E-2</v>
      </c>
      <c r="O37" s="197">
        <v>78885</v>
      </c>
      <c r="P37" s="197">
        <v>113737</v>
      </c>
      <c r="Q37" s="198">
        <v>1.9568038190999999</v>
      </c>
      <c r="R37" s="199">
        <f t="shared" si="13"/>
        <v>0.1057464788208594</v>
      </c>
      <c r="S37" s="200">
        <f t="shared" si="4"/>
        <v>0.20692511361303492</v>
      </c>
      <c r="T37" s="200">
        <f t="shared" si="14"/>
        <v>0.10732324849756292</v>
      </c>
      <c r="U37" s="197">
        <f t="shared" si="15"/>
        <v>71933576.044415325</v>
      </c>
      <c r="V37" s="199">
        <f t="shared" si="5"/>
        <v>0.69357377106834184</v>
      </c>
      <c r="W37" s="199">
        <f t="shared" si="16"/>
        <v>9.216382790222178E-3</v>
      </c>
      <c r="X37" s="197">
        <f t="shared" si="17"/>
        <v>1090110.8921646436</v>
      </c>
      <c r="Y37" s="32">
        <f t="shared" si="6"/>
        <v>73023686.936579973</v>
      </c>
      <c r="Z37" s="201">
        <f t="shared" si="18"/>
        <v>9.2607218641461819E-2</v>
      </c>
      <c r="AB37" s="36">
        <f t="shared" si="7"/>
        <v>16888750.503167808</v>
      </c>
      <c r="AC37" s="37">
        <f t="shared" si="8"/>
        <v>55091970.71612139</v>
      </c>
      <c r="AD37" s="37">
        <f t="shared" si="19"/>
        <v>73023686.936579973</v>
      </c>
      <c r="AE37" s="37">
        <f t="shared" si="20"/>
        <v>145004408.15586919</v>
      </c>
      <c r="AF37" s="38">
        <f t="shared" si="21"/>
        <v>4.5972942114415431E-2</v>
      </c>
      <c r="AH37" s="230"/>
    </row>
    <row r="38" spans="1:34">
      <c r="A38" s="248">
        <v>43</v>
      </c>
      <c r="B38" s="4" t="s">
        <v>21</v>
      </c>
      <c r="C38" s="32">
        <v>3907034</v>
      </c>
      <c r="D38" s="32">
        <v>2452655</v>
      </c>
      <c r="E38" s="34">
        <f t="shared" si="0"/>
        <v>0.62775368732393932</v>
      </c>
      <c r="F38" s="35">
        <f t="shared" si="9"/>
        <v>1539663.2199834965</v>
      </c>
      <c r="G38" s="78">
        <f t="shared" si="1"/>
        <v>6.0442527269465398E-4</v>
      </c>
      <c r="H38" s="30">
        <v>5351</v>
      </c>
      <c r="I38" s="72">
        <f t="shared" si="2"/>
        <v>9.2506762104279034E-4</v>
      </c>
      <c r="J38" s="31">
        <f t="shared" si="10"/>
        <v>7.8630747788637173E-4</v>
      </c>
      <c r="K38" s="32">
        <v>3428</v>
      </c>
      <c r="L38" s="69">
        <f t="shared" si="3"/>
        <v>5.3431925731493649E-2</v>
      </c>
      <c r="M38" s="33">
        <f t="shared" si="11"/>
        <v>8.0147888597240473E-3</v>
      </c>
      <c r="N38" s="78">
        <f t="shared" si="12"/>
        <v>8.8010963376104184E-3</v>
      </c>
      <c r="O38" s="197">
        <v>2081</v>
      </c>
      <c r="P38" s="197">
        <v>764</v>
      </c>
      <c r="Q38" s="198">
        <v>1.7755281664</v>
      </c>
      <c r="R38" s="199">
        <f t="shared" si="13"/>
        <v>7.1032566200213284E-4</v>
      </c>
      <c r="S38" s="200">
        <f t="shared" si="4"/>
        <v>1.2612032202015131E-3</v>
      </c>
      <c r="T38" s="200">
        <f t="shared" si="14"/>
        <v>6.5413242619134164E-4</v>
      </c>
      <c r="U38" s="197">
        <f t="shared" si="15"/>
        <v>438433.28711412667</v>
      </c>
      <c r="V38" s="199">
        <f t="shared" si="5"/>
        <v>2.7238219895287958</v>
      </c>
      <c r="W38" s="199">
        <f t="shared" si="16"/>
        <v>3.6194831977647418E-2</v>
      </c>
      <c r="X38" s="197">
        <f t="shared" si="17"/>
        <v>4281113.4777043508</v>
      </c>
      <c r="Y38" s="32">
        <f t="shared" si="6"/>
        <v>4719546.7648184774</v>
      </c>
      <c r="Z38" s="201">
        <f t="shared" si="18"/>
        <v>5.9852373589097526E-3</v>
      </c>
      <c r="AB38" s="36">
        <f t="shared" si="7"/>
        <v>953216.44548452843</v>
      </c>
      <c r="AC38" s="37">
        <f t="shared" si="8"/>
        <v>6939939.5974149397</v>
      </c>
      <c r="AD38" s="37">
        <f t="shared" si="19"/>
        <v>4719546.7648184774</v>
      </c>
      <c r="AE38" s="37">
        <f t="shared" si="20"/>
        <v>12612702.807717945</v>
      </c>
      <c r="AF38" s="38">
        <f t="shared" si="21"/>
        <v>3.9987960604773685E-3</v>
      </c>
      <c r="AH38" s="230"/>
    </row>
    <row r="39" spans="1:34">
      <c r="A39" s="248">
        <v>44</v>
      </c>
      <c r="B39" s="4" t="s">
        <v>22</v>
      </c>
      <c r="C39" s="32">
        <v>40511812</v>
      </c>
      <c r="D39" s="32">
        <v>11225818</v>
      </c>
      <c r="E39" s="34">
        <f t="shared" ref="E39:E58" si="22">+D39/C39</f>
        <v>0.27709987398243258</v>
      </c>
      <c r="F39" s="35">
        <f t="shared" si="9"/>
        <v>3110672.7531497232</v>
      </c>
      <c r="G39" s="78">
        <f t="shared" ref="G39:G57" si="23">+F39/F$58</f>
        <v>1.221156161089894E-3</v>
      </c>
      <c r="H39" s="30">
        <v>84666</v>
      </c>
      <c r="I39" s="72">
        <f t="shared" ref="I39:I57" si="24">+H39/$H$58</f>
        <v>1.4636848290638924E-2</v>
      </c>
      <c r="J39" s="31">
        <f t="shared" si="10"/>
        <v>1.2441321047043085E-2</v>
      </c>
      <c r="K39" s="32">
        <v>2509.1999999999998</v>
      </c>
      <c r="L39" s="69">
        <f t="shared" ref="L39:L58" si="25">+K39/$K$58</f>
        <v>3.9110673292142316E-2</v>
      </c>
      <c r="M39" s="33">
        <f t="shared" si="11"/>
        <v>5.8666009938213469E-3</v>
      </c>
      <c r="N39" s="78">
        <f t="shared" si="12"/>
        <v>1.8307922040864431E-2</v>
      </c>
      <c r="O39" s="197">
        <v>25760</v>
      </c>
      <c r="P39" s="197">
        <v>21267</v>
      </c>
      <c r="Q39" s="198">
        <v>2.0486592371999999</v>
      </c>
      <c r="R39" s="199">
        <f t="shared" si="13"/>
        <v>1.9772900332198112E-2</v>
      </c>
      <c r="S39" s="200">
        <f t="shared" si="4"/>
        <v>4.0507934911792609E-2</v>
      </c>
      <c r="T39" s="200">
        <f t="shared" si="14"/>
        <v>2.1009741585989696E-2</v>
      </c>
      <c r="U39" s="197">
        <f t="shared" si="15"/>
        <v>14081812.330565296</v>
      </c>
      <c r="V39" s="199">
        <f t="shared" si="5"/>
        <v>1.2112662810927728</v>
      </c>
      <c r="W39" s="199">
        <f t="shared" si="16"/>
        <v>1.6095611127629923E-2</v>
      </c>
      <c r="X39" s="197">
        <f t="shared" si="17"/>
        <v>1903783.8819900886</v>
      </c>
      <c r="Y39" s="32">
        <f t="shared" si="6"/>
        <v>15985596.212555384</v>
      </c>
      <c r="Z39" s="201">
        <f t="shared" si="18"/>
        <v>2.0272622017235734E-2</v>
      </c>
      <c r="AB39" s="36">
        <f t="shared" ref="AB39:AB57" si="26">+G39*AB$5</f>
        <v>1925839.6163121529</v>
      </c>
      <c r="AC39" s="37">
        <f t="shared" ref="AC39:AC57" si="27">+N39*AC$5</f>
        <v>14436368.861777244</v>
      </c>
      <c r="AD39" s="37">
        <f t="shared" si="19"/>
        <v>15985596.212555388</v>
      </c>
      <c r="AE39" s="37">
        <f t="shared" si="20"/>
        <v>32347804.690644786</v>
      </c>
      <c r="AF39" s="38">
        <f t="shared" si="21"/>
        <v>1.0255714095069986E-2</v>
      </c>
      <c r="AH39" s="230"/>
    </row>
    <row r="40" spans="1:34">
      <c r="A40" s="248">
        <v>46</v>
      </c>
      <c r="B40" s="4" t="s">
        <v>137</v>
      </c>
      <c r="C40" s="32">
        <v>2187206</v>
      </c>
      <c r="D40" s="32">
        <v>1555152</v>
      </c>
      <c r="E40" s="34">
        <f t="shared" si="22"/>
        <v>0.71102218995375832</v>
      </c>
      <c r="F40" s="35">
        <f t="shared" si="9"/>
        <v>1105747.5807509671</v>
      </c>
      <c r="G40" s="78">
        <f t="shared" si="23"/>
        <v>4.3408309970151856E-4</v>
      </c>
      <c r="H40" s="30">
        <v>5119</v>
      </c>
      <c r="I40" s="72">
        <f t="shared" si="24"/>
        <v>8.8496003590320376E-4</v>
      </c>
      <c r="J40" s="31">
        <f t="shared" si="10"/>
        <v>7.5221603051772322E-4</v>
      </c>
      <c r="K40" s="32">
        <v>264.89999999999998</v>
      </c>
      <c r="L40" s="69">
        <f t="shared" si="25"/>
        <v>4.1289723238835084E-3</v>
      </c>
      <c r="M40" s="33">
        <f t="shared" si="11"/>
        <v>6.1934584858252628E-4</v>
      </c>
      <c r="N40" s="78">
        <f t="shared" si="12"/>
        <v>1.3715618791002495E-3</v>
      </c>
      <c r="O40" s="197">
        <v>1318</v>
      </c>
      <c r="P40" s="197">
        <v>475</v>
      </c>
      <c r="Q40" s="198">
        <v>2.0058388967999998</v>
      </c>
      <c r="R40" s="199">
        <f t="shared" si="13"/>
        <v>4.4162917467410089E-4</v>
      </c>
      <c r="S40" s="200">
        <f t="shared" si="4"/>
        <v>8.8583697652299298E-4</v>
      </c>
      <c r="T40" s="200">
        <f t="shared" si="14"/>
        <v>4.5944593336068676E-4</v>
      </c>
      <c r="U40" s="197">
        <f t="shared" si="15"/>
        <v>307944.35919863929</v>
      </c>
      <c r="V40" s="199">
        <f t="shared" si="5"/>
        <v>2.7747368421052632</v>
      </c>
      <c r="W40" s="199">
        <f t="shared" si="16"/>
        <v>3.6871401350116108E-2</v>
      </c>
      <c r="X40" s="197">
        <f t="shared" si="17"/>
        <v>4361137.8928160565</v>
      </c>
      <c r="Y40" s="32">
        <f t="shared" si="6"/>
        <v>4669082.2520146957</v>
      </c>
      <c r="Z40" s="201">
        <f t="shared" si="18"/>
        <v>5.921239245874E-3</v>
      </c>
      <c r="AB40" s="36">
        <f t="shared" si="26"/>
        <v>684576.18838089239</v>
      </c>
      <c r="AC40" s="37">
        <f t="shared" si="27"/>
        <v>1081519.4187110832</v>
      </c>
      <c r="AD40" s="37">
        <f t="shared" si="19"/>
        <v>4669082.2520146966</v>
      </c>
      <c r="AE40" s="37">
        <f t="shared" si="20"/>
        <v>6435177.859106672</v>
      </c>
      <c r="AF40" s="38">
        <f t="shared" si="21"/>
        <v>2.0402418310943209E-3</v>
      </c>
      <c r="AH40" s="230"/>
    </row>
    <row r="41" spans="1:34">
      <c r="A41" s="248">
        <v>49</v>
      </c>
      <c r="B41" s="4" t="s">
        <v>23</v>
      </c>
      <c r="C41" s="32">
        <v>769899</v>
      </c>
      <c r="D41" s="32">
        <v>328826</v>
      </c>
      <c r="E41" s="34">
        <f t="shared" si="22"/>
        <v>0.42710277581864636</v>
      </c>
      <c r="F41" s="35">
        <f t="shared" si="9"/>
        <v>140442.49736134222</v>
      </c>
      <c r="G41" s="78">
        <f t="shared" si="23"/>
        <v>5.5133482221168719E-5</v>
      </c>
      <c r="H41" s="30">
        <v>1483</v>
      </c>
      <c r="I41" s="72">
        <f t="shared" si="24"/>
        <v>2.5637736535347747E-4</v>
      </c>
      <c r="J41" s="31">
        <f t="shared" si="10"/>
        <v>2.1792076055045584E-4</v>
      </c>
      <c r="K41" s="32">
        <v>207.9</v>
      </c>
      <c r="L41" s="69">
        <f t="shared" si="25"/>
        <v>3.2405184829572727E-3</v>
      </c>
      <c r="M41" s="33">
        <f t="shared" si="11"/>
        <v>4.8607777244359088E-4</v>
      </c>
      <c r="N41" s="78">
        <f t="shared" si="12"/>
        <v>7.0399853299404674E-4</v>
      </c>
      <c r="O41" s="197">
        <v>35</v>
      </c>
      <c r="P41" s="197">
        <v>141</v>
      </c>
      <c r="Q41" s="198">
        <v>1.5774653305999999</v>
      </c>
      <c r="R41" s="199">
        <f t="shared" si="13"/>
        <v>1.3109413395589101E-4</v>
      </c>
      <c r="S41" s="200">
        <f t="shared" si="4"/>
        <v>2.0679645136045029E-4</v>
      </c>
      <c r="T41" s="200">
        <f t="shared" si="14"/>
        <v>1.072565168637593E-4</v>
      </c>
      <c r="U41" s="197">
        <f t="shared" si="15"/>
        <v>71888.849061939676</v>
      </c>
      <c r="V41" s="199">
        <f t="shared" si="5"/>
        <v>0.24822695035460993</v>
      </c>
      <c r="W41" s="199">
        <f t="shared" si="16"/>
        <v>3.2985021763346587E-3</v>
      </c>
      <c r="X41" s="197">
        <f t="shared" si="17"/>
        <v>390145.81231000624</v>
      </c>
      <c r="Y41" s="32">
        <f t="shared" si="6"/>
        <v>462034.66137194593</v>
      </c>
      <c r="Z41" s="201">
        <f t="shared" si="18"/>
        <v>5.8594336578439432E-4</v>
      </c>
      <c r="AB41" s="36">
        <f t="shared" si="26"/>
        <v>86948.948570183959</v>
      </c>
      <c r="AC41" s="37">
        <f t="shared" si="27"/>
        <v>555124.85129482509</v>
      </c>
      <c r="AD41" s="37">
        <f t="shared" si="19"/>
        <v>462034.66137194604</v>
      </c>
      <c r="AE41" s="37">
        <f t="shared" si="20"/>
        <v>1104108.4612369551</v>
      </c>
      <c r="AF41" s="38">
        <f t="shared" si="21"/>
        <v>3.5005221580519457E-4</v>
      </c>
      <c r="AH41" s="230"/>
    </row>
    <row r="42" spans="1:34">
      <c r="A42" s="248">
        <v>48</v>
      </c>
      <c r="B42" s="4" t="s">
        <v>24</v>
      </c>
      <c r="C42" s="32">
        <v>847487</v>
      </c>
      <c r="D42" s="32">
        <v>95366</v>
      </c>
      <c r="E42" s="34">
        <f t="shared" si="22"/>
        <v>0.11252797978022082</v>
      </c>
      <c r="F42" s="35">
        <f t="shared" si="9"/>
        <v>10731.343319720538</v>
      </c>
      <c r="G42" s="78">
        <f t="shared" si="23"/>
        <v>4.2128012335525978E-6</v>
      </c>
      <c r="H42" s="30">
        <v>7652</v>
      </c>
      <c r="I42" s="72">
        <f t="shared" si="24"/>
        <v>1.322858799517741E-3</v>
      </c>
      <c r="J42" s="31">
        <f t="shared" si="10"/>
        <v>1.1244299795900798E-3</v>
      </c>
      <c r="K42" s="32">
        <v>997.9</v>
      </c>
      <c r="L42" s="69">
        <f t="shared" si="25"/>
        <v>1.5554176980005108E-2</v>
      </c>
      <c r="M42" s="33">
        <f t="shared" si="11"/>
        <v>2.3331265470007659E-3</v>
      </c>
      <c r="N42" s="78">
        <f t="shared" si="12"/>
        <v>3.4575565265908457E-3</v>
      </c>
      <c r="O42" s="197">
        <v>5295</v>
      </c>
      <c r="P42" s="197">
        <v>4705</v>
      </c>
      <c r="Q42" s="198">
        <v>2.7540316573000001</v>
      </c>
      <c r="R42" s="199">
        <f t="shared" si="13"/>
        <v>4.3744531933508314E-3</v>
      </c>
      <c r="S42" s="200">
        <f t="shared" si="4"/>
        <v>1.2047382577865268E-2</v>
      </c>
      <c r="T42" s="200">
        <f t="shared" si="14"/>
        <v>6.2484645366312659E-3</v>
      </c>
      <c r="U42" s="197">
        <f t="shared" si="15"/>
        <v>4188043.179822349</v>
      </c>
      <c r="V42" s="199">
        <f t="shared" si="5"/>
        <v>1.1253985122210415</v>
      </c>
      <c r="W42" s="199">
        <f t="shared" si="16"/>
        <v>1.4954578608413996E-2</v>
      </c>
      <c r="X42" s="197">
        <f t="shared" si="17"/>
        <v>1768822.9102267444</v>
      </c>
      <c r="Y42" s="32">
        <f t="shared" si="6"/>
        <v>5956866.0900490936</v>
      </c>
      <c r="Z42" s="201">
        <f t="shared" si="18"/>
        <v>7.554381647398677E-3</v>
      </c>
      <c r="AB42" s="36">
        <f t="shared" si="26"/>
        <v>6643.850942031203</v>
      </c>
      <c r="AC42" s="37">
        <f t="shared" si="27"/>
        <v>2726391.409516511</v>
      </c>
      <c r="AD42" s="37">
        <f t="shared" si="19"/>
        <v>5956866.0900490945</v>
      </c>
      <c r="AE42" s="37">
        <f t="shared" si="20"/>
        <v>8689901.3505076356</v>
      </c>
      <c r="AF42" s="38">
        <f t="shared" si="21"/>
        <v>2.7550909441141557E-3</v>
      </c>
      <c r="AH42" s="230"/>
    </row>
    <row r="43" spans="1:34">
      <c r="A43" s="248">
        <v>47</v>
      </c>
      <c r="B43" s="4" t="s">
        <v>25</v>
      </c>
      <c r="C43" s="32">
        <v>4772320</v>
      </c>
      <c r="D43" s="32">
        <v>736730</v>
      </c>
      <c r="E43" s="34">
        <f t="shared" si="22"/>
        <v>0.1543756495792403</v>
      </c>
      <c r="F43" s="35">
        <f t="shared" si="9"/>
        <v>113733.17231451371</v>
      </c>
      <c r="G43" s="78">
        <f t="shared" si="23"/>
        <v>4.4648207996658434E-5</v>
      </c>
      <c r="H43" s="30">
        <v>6048</v>
      </c>
      <c r="I43" s="72">
        <f t="shared" si="24"/>
        <v>1.0455632539837032E-3</v>
      </c>
      <c r="J43" s="31">
        <f t="shared" si="10"/>
        <v>8.8872876588614767E-4</v>
      </c>
      <c r="K43" s="32">
        <v>3860</v>
      </c>
      <c r="L43" s="69">
        <f t="shared" si="25"/>
        <v>6.0165470631145121E-2</v>
      </c>
      <c r="M43" s="33">
        <f t="shared" si="11"/>
        <v>9.0248205946717678E-3</v>
      </c>
      <c r="N43" s="78">
        <f t="shared" si="12"/>
        <v>9.9135493605579158E-3</v>
      </c>
      <c r="O43" s="197">
        <v>1618</v>
      </c>
      <c r="P43" s="197">
        <v>916</v>
      </c>
      <c r="Q43" s="198">
        <v>2.0422796606000002</v>
      </c>
      <c r="R43" s="199">
        <f t="shared" si="13"/>
        <v>8.5164699789784515E-4</v>
      </c>
      <c r="S43" s="200">
        <f t="shared" si="4"/>
        <v>1.7393013418178203E-3</v>
      </c>
      <c r="T43" s="200">
        <f t="shared" si="14"/>
        <v>9.0210157124349997E-4</v>
      </c>
      <c r="U43" s="197">
        <f t="shared" si="15"/>
        <v>604634.99645470013</v>
      </c>
      <c r="V43" s="199">
        <f t="shared" si="5"/>
        <v>1.7663755458515285</v>
      </c>
      <c r="W43" s="199">
        <f t="shared" si="16"/>
        <v>2.3472042716925653E-2</v>
      </c>
      <c r="X43" s="197">
        <f t="shared" si="17"/>
        <v>2776265.9179282663</v>
      </c>
      <c r="Y43" s="32">
        <f t="shared" si="6"/>
        <v>3380900.9143829662</v>
      </c>
      <c r="Z43" s="201">
        <f t="shared" si="18"/>
        <v>4.2875927430958234E-3</v>
      </c>
      <c r="AB43" s="36">
        <f t="shared" si="26"/>
        <v>70413.015547960022</v>
      </c>
      <c r="AC43" s="37">
        <f t="shared" si="27"/>
        <v>7817143.582925844</v>
      </c>
      <c r="AD43" s="37">
        <f t="shared" si="19"/>
        <v>3380900.9143829667</v>
      </c>
      <c r="AE43" s="37">
        <f t="shared" si="20"/>
        <v>11268457.51285677</v>
      </c>
      <c r="AF43" s="38">
        <f t="shared" si="21"/>
        <v>3.5726096299117625E-3</v>
      </c>
      <c r="AH43" s="230"/>
    </row>
    <row r="44" spans="1:34">
      <c r="A44" s="248">
        <v>45</v>
      </c>
      <c r="B44" s="4" t="s">
        <v>26</v>
      </c>
      <c r="C44" s="32">
        <v>62554222</v>
      </c>
      <c r="D44" s="32">
        <v>20566369</v>
      </c>
      <c r="E44" s="34">
        <f t="shared" si="22"/>
        <v>0.32877667313966435</v>
      </c>
      <c r="F44" s="35">
        <f t="shared" si="9"/>
        <v>6761742.3783827256</v>
      </c>
      <c r="G44" s="78">
        <f t="shared" si="23"/>
        <v>2.6544558107900926E-3</v>
      </c>
      <c r="H44" s="30">
        <v>67428</v>
      </c>
      <c r="I44" s="72">
        <f t="shared" si="24"/>
        <v>1.1656785563758786E-2</v>
      </c>
      <c r="J44" s="31">
        <f t="shared" si="10"/>
        <v>9.9082677291949667E-3</v>
      </c>
      <c r="K44" s="32">
        <v>1869</v>
      </c>
      <c r="L44" s="69">
        <f t="shared" si="25"/>
        <v>2.913193383668659E-2</v>
      </c>
      <c r="M44" s="33">
        <f t="shared" si="11"/>
        <v>4.3697900755029885E-3</v>
      </c>
      <c r="N44" s="78">
        <f t="shared" si="12"/>
        <v>1.4278057804697954E-2</v>
      </c>
      <c r="O44" s="197">
        <v>15090</v>
      </c>
      <c r="P44" s="197">
        <v>11157</v>
      </c>
      <c r="Q44" s="198">
        <v>1.7986407321</v>
      </c>
      <c r="R44" s="199">
        <f t="shared" si="13"/>
        <v>1.037317200387146E-2</v>
      </c>
      <c r="S44" s="200">
        <f t="shared" si="4"/>
        <v>1.8657609687242588E-2</v>
      </c>
      <c r="T44" s="200">
        <f t="shared" si="14"/>
        <v>9.6769079686436638E-3</v>
      </c>
      <c r="U44" s="197">
        <f t="shared" si="15"/>
        <v>6485962.78049713</v>
      </c>
      <c r="V44" s="199">
        <f t="shared" si="5"/>
        <v>1.352514116698037</v>
      </c>
      <c r="W44" s="199">
        <f t="shared" si="16"/>
        <v>1.7972547908591634E-2</v>
      </c>
      <c r="X44" s="197">
        <f t="shared" si="17"/>
        <v>2125787.3811287652</v>
      </c>
      <c r="Y44" s="32">
        <f t="shared" si="6"/>
        <v>8611750.1616258956</v>
      </c>
      <c r="Z44" s="201">
        <f t="shared" si="18"/>
        <v>1.0921253959635861E-2</v>
      </c>
      <c r="AB44" s="36">
        <f t="shared" si="26"/>
        <v>4186242.7779973662</v>
      </c>
      <c r="AC44" s="37">
        <f t="shared" si="27"/>
        <v>11258694.932080055</v>
      </c>
      <c r="AD44" s="37">
        <f t="shared" si="19"/>
        <v>8611750.1616258975</v>
      </c>
      <c r="AE44" s="37">
        <f t="shared" si="20"/>
        <v>24056687.871703319</v>
      </c>
      <c r="AF44" s="38">
        <f t="shared" si="21"/>
        <v>7.6270558464784982E-3</v>
      </c>
      <c r="AH44" s="230"/>
    </row>
    <row r="45" spans="1:34">
      <c r="A45" s="248">
        <v>70</v>
      </c>
      <c r="B45" s="4" t="s">
        <v>27</v>
      </c>
      <c r="C45" s="32">
        <v>2616832733</v>
      </c>
      <c r="D45" s="32">
        <v>1530787885.22</v>
      </c>
      <c r="E45" s="34">
        <f t="shared" si="22"/>
        <v>0.58497735293347086</v>
      </c>
      <c r="F45" s="35">
        <f t="shared" si="9"/>
        <v>895476244.99862146</v>
      </c>
      <c r="G45" s="78">
        <f t="shared" si="23"/>
        <v>0.35153692479624093</v>
      </c>
      <c r="H45" s="30">
        <v>1142994</v>
      </c>
      <c r="I45" s="72">
        <f t="shared" si="24"/>
        <v>0.19759797055619194</v>
      </c>
      <c r="J45" s="31">
        <f t="shared" si="10"/>
        <v>0.16795827497276314</v>
      </c>
      <c r="K45" s="32">
        <v>324.39999999999998</v>
      </c>
      <c r="L45" s="69">
        <f t="shared" si="25"/>
        <v>5.0563934385345795E-3</v>
      </c>
      <c r="M45" s="33">
        <f t="shared" si="11"/>
        <v>7.584590157801869E-4</v>
      </c>
      <c r="N45" s="78">
        <f t="shared" si="12"/>
        <v>0.16871673398854334</v>
      </c>
      <c r="O45" s="197">
        <v>182930</v>
      </c>
      <c r="P45" s="197">
        <v>207064</v>
      </c>
      <c r="Q45" s="198">
        <v>1.9809358914999999</v>
      </c>
      <c r="R45" s="199">
        <f t="shared" si="13"/>
        <v>0.19251684931519586</v>
      </c>
      <c r="S45" s="200">
        <f t="shared" si="4"/>
        <v>0.38136353652696864</v>
      </c>
      <c r="T45" s="200">
        <f t="shared" si="14"/>
        <v>0.19779703335156221</v>
      </c>
      <c r="U45" s="197">
        <f t="shared" si="15"/>
        <v>132573772.59017134</v>
      </c>
      <c r="V45" s="199">
        <f t="shared" si="5"/>
        <v>0.8834466638334042</v>
      </c>
      <c r="W45" s="199">
        <f t="shared" si="16"/>
        <v>1.1739461565986884E-2</v>
      </c>
      <c r="X45" s="197">
        <f t="shared" si="17"/>
        <v>1388539.8656409327</v>
      </c>
      <c r="Y45" s="32">
        <f t="shared" si="6"/>
        <v>133962312.45581228</v>
      </c>
      <c r="Z45" s="201">
        <f t="shared" si="18"/>
        <v>0.16988839758372593</v>
      </c>
      <c r="AB45" s="36">
        <f t="shared" si="26"/>
        <v>554395709.5257287</v>
      </c>
      <c r="AC45" s="37">
        <f t="shared" si="27"/>
        <v>133038419.08308449</v>
      </c>
      <c r="AD45" s="37">
        <f t="shared" si="19"/>
        <v>133962312.45581229</v>
      </c>
      <c r="AE45" s="37">
        <f t="shared" si="20"/>
        <v>821396441.0646255</v>
      </c>
      <c r="AF45" s="38">
        <f t="shared" si="21"/>
        <v>0.26041974529118772</v>
      </c>
      <c r="AH45" s="230"/>
    </row>
    <row r="46" spans="1:34">
      <c r="A46" s="248">
        <v>50</v>
      </c>
      <c r="B46" s="4" t="s">
        <v>138</v>
      </c>
      <c r="C46" s="32">
        <v>1399134</v>
      </c>
      <c r="D46" s="32">
        <v>409925</v>
      </c>
      <c r="E46" s="34">
        <f t="shared" si="22"/>
        <v>0.29298480345699557</v>
      </c>
      <c r="F46" s="35">
        <f t="shared" si="9"/>
        <v>120101.79555710891</v>
      </c>
      <c r="G46" s="78">
        <f t="shared" si="23"/>
        <v>4.7148337109398017E-5</v>
      </c>
      <c r="H46" s="30">
        <v>906</v>
      </c>
      <c r="I46" s="72">
        <f t="shared" si="24"/>
        <v>1.5662703507097141E-4</v>
      </c>
      <c r="J46" s="31">
        <f t="shared" si="10"/>
        <v>1.331329798103257E-4</v>
      </c>
      <c r="K46" s="32">
        <v>1171.2</v>
      </c>
      <c r="L46" s="69">
        <f t="shared" si="25"/>
        <v>1.8255388394610668E-2</v>
      </c>
      <c r="M46" s="33">
        <f t="shared" si="11"/>
        <v>2.7383082591916001E-3</v>
      </c>
      <c r="N46" s="78">
        <f t="shared" si="12"/>
        <v>2.8714412390019256E-3</v>
      </c>
      <c r="O46" s="197">
        <v>133</v>
      </c>
      <c r="P46" s="197">
        <v>63</v>
      </c>
      <c r="Q46" s="198">
        <v>1.7977681072</v>
      </c>
      <c r="R46" s="199">
        <f t="shared" si="13"/>
        <v>5.8573974746249173E-5</v>
      </c>
      <c r="S46" s="200">
        <f t="shared" si="4"/>
        <v>1.0530242371074497E-4</v>
      </c>
      <c r="T46" s="200">
        <f t="shared" si="14"/>
        <v>5.4615884896592997E-5</v>
      </c>
      <c r="U46" s="197">
        <f t="shared" si="15"/>
        <v>36606.382721739174</v>
      </c>
      <c r="V46" s="199">
        <f t="shared" si="5"/>
        <v>2.1111111111111112</v>
      </c>
      <c r="W46" s="199">
        <f t="shared" si="16"/>
        <v>2.8052975652065243E-2</v>
      </c>
      <c r="X46" s="197">
        <f t="shared" si="17"/>
        <v>3318097.2418365297</v>
      </c>
      <c r="Y46" s="32">
        <f t="shared" si="6"/>
        <v>3354703.624558269</v>
      </c>
      <c r="Z46" s="201">
        <f t="shared" si="18"/>
        <v>4.2543698499718915E-3</v>
      </c>
      <c r="AB46" s="36">
        <f t="shared" si="26"/>
        <v>74355.875474172848</v>
      </c>
      <c r="AC46" s="37">
        <f t="shared" si="27"/>
        <v>2264221.1824271679</v>
      </c>
      <c r="AD46" s="37">
        <f t="shared" si="19"/>
        <v>3354703.62455827</v>
      </c>
      <c r="AE46" s="37">
        <f t="shared" si="20"/>
        <v>5693280.6824596105</v>
      </c>
      <c r="AF46" s="38">
        <f t="shared" si="21"/>
        <v>1.8050269407981526E-3</v>
      </c>
      <c r="AH46" s="230"/>
    </row>
    <row r="47" spans="1:34">
      <c r="A47" s="248">
        <v>51</v>
      </c>
      <c r="B47" s="4" t="s">
        <v>139</v>
      </c>
      <c r="C47" s="32">
        <v>110604359</v>
      </c>
      <c r="D47" s="32">
        <v>24732378.239999998</v>
      </c>
      <c r="E47" s="34">
        <f t="shared" si="22"/>
        <v>0.22361124338689037</v>
      </c>
      <c r="F47" s="35">
        <f t="shared" si="9"/>
        <v>5530437.8501612712</v>
      </c>
      <c r="G47" s="78">
        <f t="shared" si="23"/>
        <v>2.1710828461177327E-3</v>
      </c>
      <c r="H47" s="30">
        <v>147624</v>
      </c>
      <c r="I47" s="72">
        <f t="shared" si="24"/>
        <v>2.5520871330372057E-2</v>
      </c>
      <c r="J47" s="31">
        <f t="shared" si="10"/>
        <v>2.1692740630816248E-2</v>
      </c>
      <c r="K47" s="32">
        <v>322.8</v>
      </c>
      <c r="L47" s="69">
        <f t="shared" si="25"/>
        <v>5.0314543833506857E-3</v>
      </c>
      <c r="M47" s="33">
        <f t="shared" si="11"/>
        <v>7.5471815750260279E-4</v>
      </c>
      <c r="N47" s="78">
        <f t="shared" si="12"/>
        <v>2.2447458788318851E-2</v>
      </c>
      <c r="O47" s="197">
        <v>19678</v>
      </c>
      <c r="P47" s="197">
        <v>32877</v>
      </c>
      <c r="Q47" s="198">
        <v>1.8363293522999999</v>
      </c>
      <c r="R47" s="199">
        <f t="shared" si="13"/>
        <v>3.0567247106864034E-2</v>
      </c>
      <c r="S47" s="200">
        <f t="shared" si="4"/>
        <v>5.6131533081341681E-2</v>
      </c>
      <c r="T47" s="200">
        <f t="shared" si="14"/>
        <v>2.9113036925540778E-2</v>
      </c>
      <c r="U47" s="197">
        <f t="shared" si="15"/>
        <v>19513058.772301454</v>
      </c>
      <c r="V47" s="199">
        <f t="shared" si="5"/>
        <v>0.59853392949478357</v>
      </c>
      <c r="W47" s="199">
        <f t="shared" si="16"/>
        <v>7.953469461024678E-3</v>
      </c>
      <c r="X47" s="197">
        <f t="shared" si="17"/>
        <v>940733.89607473637</v>
      </c>
      <c r="Y47" s="32">
        <f t="shared" si="6"/>
        <v>20453792.668376189</v>
      </c>
      <c r="Z47" s="201">
        <f t="shared" si="18"/>
        <v>2.5939101805863365E-2</v>
      </c>
      <c r="AB47" s="36">
        <f t="shared" si="26"/>
        <v>3423933.390810187</v>
      </c>
      <c r="AC47" s="37">
        <f t="shared" si="27"/>
        <v>17700522.995148901</v>
      </c>
      <c r="AD47" s="37">
        <f t="shared" si="19"/>
        <v>20453792.668376192</v>
      </c>
      <c r="AE47" s="37">
        <f t="shared" si="20"/>
        <v>41578249.054335281</v>
      </c>
      <c r="AF47" s="38">
        <f t="shared" si="21"/>
        <v>1.3182181571604418E-2</v>
      </c>
      <c r="AH47" s="230"/>
    </row>
    <row r="48" spans="1:34">
      <c r="A48" s="248">
        <v>52</v>
      </c>
      <c r="B48" s="4" t="s">
        <v>140</v>
      </c>
      <c r="C48" s="32">
        <v>8051951</v>
      </c>
      <c r="D48" s="32">
        <v>1668066</v>
      </c>
      <c r="E48" s="34">
        <f t="shared" si="22"/>
        <v>0.20716295963549702</v>
      </c>
      <c r="F48" s="35">
        <f t="shared" si="9"/>
        <v>345561.48942734499</v>
      </c>
      <c r="G48" s="78">
        <f t="shared" si="23"/>
        <v>1.3565700262823229E-4</v>
      </c>
      <c r="H48" s="30">
        <v>5389</v>
      </c>
      <c r="I48" s="72">
        <f t="shared" si="24"/>
        <v>9.3163696688461914E-4</v>
      </c>
      <c r="J48" s="31">
        <f t="shared" si="10"/>
        <v>7.918914218519263E-4</v>
      </c>
      <c r="K48" s="32">
        <v>1341</v>
      </c>
      <c r="L48" s="69">
        <f t="shared" si="25"/>
        <v>2.0902045626001453E-2</v>
      </c>
      <c r="M48" s="33">
        <f t="shared" si="11"/>
        <v>3.135306843900218E-3</v>
      </c>
      <c r="N48" s="78">
        <f t="shared" si="12"/>
        <v>3.927198265752144E-3</v>
      </c>
      <c r="O48" s="197">
        <v>1611</v>
      </c>
      <c r="P48" s="197">
        <v>1054</v>
      </c>
      <c r="Q48" s="198">
        <v>2.1403267704000002</v>
      </c>
      <c r="R48" s="199">
        <f t="shared" si="13"/>
        <v>9.7995189496105769E-4</v>
      </c>
      <c r="S48" s="200">
        <f t="shared" si="4"/>
        <v>2.0974172744893608E-3</v>
      </c>
      <c r="T48" s="200">
        <f t="shared" si="14"/>
        <v>1.0878410620281658E-3</v>
      </c>
      <c r="U48" s="197">
        <f t="shared" si="15"/>
        <v>729127.18218194391</v>
      </c>
      <c r="V48" s="199">
        <f t="shared" si="5"/>
        <v>1.5284629981024669</v>
      </c>
      <c r="W48" s="199">
        <f t="shared" si="16"/>
        <v>2.0310600917771596E-2</v>
      </c>
      <c r="X48" s="197">
        <f t="shared" si="17"/>
        <v>2402331.5644356259</v>
      </c>
      <c r="Y48" s="32">
        <f t="shared" si="6"/>
        <v>3131458.7466175696</v>
      </c>
      <c r="Z48" s="201">
        <f t="shared" si="18"/>
        <v>3.9712550403896802E-3</v>
      </c>
      <c r="AB48" s="36">
        <f t="shared" si="26"/>
        <v>213939.57481935818</v>
      </c>
      <c r="AC48" s="37">
        <f t="shared" si="27"/>
        <v>3096718.6025363342</v>
      </c>
      <c r="AD48" s="37">
        <f t="shared" si="19"/>
        <v>3131458.7466175701</v>
      </c>
      <c r="AE48" s="37">
        <f t="shared" si="20"/>
        <v>6442116.9239732623</v>
      </c>
      <c r="AF48" s="38">
        <f t="shared" si="21"/>
        <v>2.0424418278495718E-3</v>
      </c>
      <c r="AH48" s="230"/>
    </row>
    <row r="49" spans="1:34">
      <c r="A49" s="248">
        <v>53</v>
      </c>
      <c r="B49" s="4" t="s">
        <v>28</v>
      </c>
      <c r="C49" s="32">
        <v>1112166</v>
      </c>
      <c r="D49" s="32">
        <v>267154</v>
      </c>
      <c r="E49" s="34">
        <f t="shared" si="22"/>
        <v>0.24021054410942252</v>
      </c>
      <c r="F49" s="35">
        <f t="shared" si="9"/>
        <v>64173.207701008665</v>
      </c>
      <c r="G49" s="78">
        <f t="shared" si="23"/>
        <v>2.5192462910680293E-5</v>
      </c>
      <c r="H49" s="30">
        <v>2377</v>
      </c>
      <c r="I49" s="72">
        <f t="shared" si="24"/>
        <v>4.1092987015860824E-4</v>
      </c>
      <c r="J49" s="31">
        <f t="shared" si="10"/>
        <v>3.4929038963481702E-4</v>
      </c>
      <c r="K49" s="32">
        <v>683.1</v>
      </c>
      <c r="L49" s="69">
        <f t="shared" si="25"/>
        <v>1.0647417872573894E-2</v>
      </c>
      <c r="M49" s="33">
        <f t="shared" si="11"/>
        <v>1.5971126808860842E-3</v>
      </c>
      <c r="N49" s="78">
        <f t="shared" si="12"/>
        <v>1.9464030705209012E-3</v>
      </c>
      <c r="O49" s="197">
        <v>1875</v>
      </c>
      <c r="P49" s="197">
        <v>790</v>
      </c>
      <c r="Q49" s="198">
        <v>2.1956719391999999</v>
      </c>
      <c r="R49" s="199">
        <f t="shared" si="13"/>
        <v>7.3449904840534679E-4</v>
      </c>
      <c r="S49" s="200">
        <f t="shared" si="4"/>
        <v>1.6127189499527224E-3</v>
      </c>
      <c r="T49" s="200">
        <f t="shared" si="14"/>
        <v>8.3644867266416574E-4</v>
      </c>
      <c r="U49" s="197">
        <f t="shared" si="15"/>
        <v>560631.03795916436</v>
      </c>
      <c r="V49" s="199">
        <f t="shared" si="5"/>
        <v>2.3734177215189876</v>
      </c>
      <c r="W49" s="199">
        <f t="shared" si="16"/>
        <v>3.1538571893977414E-2</v>
      </c>
      <c r="X49" s="197">
        <f t="shared" si="17"/>
        <v>3730372.4820780437</v>
      </c>
      <c r="Y49" s="32">
        <f t="shared" si="6"/>
        <v>4291003.5200372078</v>
      </c>
      <c r="Z49" s="201">
        <f t="shared" si="18"/>
        <v>5.4417671558611531E-3</v>
      </c>
      <c r="AB49" s="36">
        <f t="shared" si="26"/>
        <v>39730.089116989831</v>
      </c>
      <c r="AC49" s="37">
        <f t="shared" si="27"/>
        <v>1534799.6685269275</v>
      </c>
      <c r="AD49" s="37">
        <f t="shared" si="19"/>
        <v>4291003.5200372087</v>
      </c>
      <c r="AE49" s="37">
        <f t="shared" si="20"/>
        <v>5865533.2776811263</v>
      </c>
      <c r="AF49" s="38">
        <f t="shared" si="21"/>
        <v>1.8596387880508534E-3</v>
      </c>
      <c r="AH49" s="230"/>
    </row>
    <row r="50" spans="1:34">
      <c r="A50" s="248">
        <v>54</v>
      </c>
      <c r="B50" s="4" t="s">
        <v>29</v>
      </c>
      <c r="C50" s="32">
        <v>18582885</v>
      </c>
      <c r="D50" s="32">
        <v>7763840.4800000004</v>
      </c>
      <c r="E50" s="34">
        <f t="shared" si="22"/>
        <v>0.41779521748103166</v>
      </c>
      <c r="F50" s="35">
        <f t="shared" si="9"/>
        <v>3243695.4218296376</v>
      </c>
      <c r="G50" s="78">
        <f t="shared" si="23"/>
        <v>1.2733768426960244E-3</v>
      </c>
      <c r="H50" s="30">
        <v>34709</v>
      </c>
      <c r="I50" s="72">
        <f t="shared" si="24"/>
        <v>6.0004059164220159E-3</v>
      </c>
      <c r="J50" s="31">
        <f t="shared" si="10"/>
        <v>5.1003450289587131E-3</v>
      </c>
      <c r="K50" s="32">
        <v>1541.5</v>
      </c>
      <c r="L50" s="69">
        <f t="shared" si="25"/>
        <v>2.4027220978733214E-2</v>
      </c>
      <c r="M50" s="33">
        <f t="shared" si="11"/>
        <v>3.6040831468099818E-3</v>
      </c>
      <c r="N50" s="78">
        <f t="shared" si="12"/>
        <v>8.7044281757686949E-3</v>
      </c>
      <c r="O50" s="197">
        <v>9838</v>
      </c>
      <c r="P50" s="197">
        <v>7575</v>
      </c>
      <c r="Q50" s="198">
        <v>1.6303971907999999</v>
      </c>
      <c r="R50" s="199">
        <f t="shared" si="13"/>
        <v>7.0428231540132936E-3</v>
      </c>
      <c r="S50" s="200">
        <f t="shared" si="4"/>
        <v>1.1482599085604469E-2</v>
      </c>
      <c r="T50" s="200">
        <f t="shared" si="14"/>
        <v>5.9555353796581761E-3</v>
      </c>
      <c r="U50" s="197">
        <f t="shared" si="15"/>
        <v>3991706.9518034151</v>
      </c>
      <c r="V50" s="199">
        <f t="shared" si="5"/>
        <v>1.2987458745874587</v>
      </c>
      <c r="W50" s="199">
        <f t="shared" si="16"/>
        <v>1.7258061978010494E-2</v>
      </c>
      <c r="X50" s="197">
        <f t="shared" si="17"/>
        <v>2041278.2073072083</v>
      </c>
      <c r="Y50" s="32">
        <f t="shared" si="6"/>
        <v>6032985.1591106234</v>
      </c>
      <c r="Z50" s="201">
        <f t="shared" si="18"/>
        <v>7.6509143694110252E-3</v>
      </c>
      <c r="AB50" s="36">
        <f t="shared" si="26"/>
        <v>2008194.8961955635</v>
      </c>
      <c r="AC50" s="37">
        <f t="shared" si="27"/>
        <v>6863713.7298138989</v>
      </c>
      <c r="AD50" s="37">
        <f t="shared" si="19"/>
        <v>6032985.1591106243</v>
      </c>
      <c r="AE50" s="37">
        <f t="shared" si="20"/>
        <v>14904893.785120087</v>
      </c>
      <c r="AF50" s="38">
        <f t="shared" si="21"/>
        <v>4.7255240576429408E-3</v>
      </c>
      <c r="AH50" s="230"/>
    </row>
    <row r="51" spans="1:34">
      <c r="A51" s="248">
        <v>55</v>
      </c>
      <c r="B51" s="4" t="s">
        <v>30</v>
      </c>
      <c r="C51" s="32">
        <v>126915948</v>
      </c>
      <c r="D51" s="32">
        <v>36493940.880000003</v>
      </c>
      <c r="E51" s="34">
        <f t="shared" si="22"/>
        <v>0.28754416962634199</v>
      </c>
      <c r="F51" s="35">
        <f t="shared" si="9"/>
        <v>10493619.926732417</v>
      </c>
      <c r="G51" s="78">
        <f t="shared" si="23"/>
        <v>4.1194782102005932E-3</v>
      </c>
      <c r="H51" s="30">
        <v>86766</v>
      </c>
      <c r="I51" s="72">
        <f t="shared" si="24"/>
        <v>1.4999891087161044E-2</v>
      </c>
      <c r="J51" s="31">
        <f t="shared" si="10"/>
        <v>1.2749907424086887E-2</v>
      </c>
      <c r="K51" s="32">
        <v>1667.4</v>
      </c>
      <c r="L51" s="69">
        <f t="shared" si="25"/>
        <v>2.5989612883515902E-2</v>
      </c>
      <c r="M51" s="33">
        <f t="shared" si="11"/>
        <v>3.8984419325273851E-3</v>
      </c>
      <c r="N51" s="78">
        <f t="shared" si="12"/>
        <v>1.6648349356614273E-2</v>
      </c>
      <c r="O51" s="197">
        <v>13606</v>
      </c>
      <c r="P51" s="197">
        <v>22970</v>
      </c>
      <c r="Q51" s="198">
        <v>1.9100372027999999</v>
      </c>
      <c r="R51" s="199">
        <f t="shared" si="13"/>
        <v>2.1356257141608628E-2</v>
      </c>
      <c r="S51" s="200">
        <f t="shared" si="4"/>
        <v>4.0791245653035664E-2</v>
      </c>
      <c r="T51" s="200">
        <f t="shared" si="14"/>
        <v>2.1156682808123412E-2</v>
      </c>
      <c r="U51" s="197">
        <f t="shared" si="15"/>
        <v>14180299.915728681</v>
      </c>
      <c r="V51" s="199">
        <f t="shared" si="5"/>
        <v>0.59233783195472356</v>
      </c>
      <c r="W51" s="199">
        <f t="shared" si="16"/>
        <v>7.8711341578214088E-3</v>
      </c>
      <c r="X51" s="197">
        <f t="shared" si="17"/>
        <v>930995.30199997802</v>
      </c>
      <c r="Y51" s="32">
        <f t="shared" si="6"/>
        <v>15111295.21772866</v>
      </c>
      <c r="Z51" s="201">
        <f t="shared" si="18"/>
        <v>1.9163850510578114E-2</v>
      </c>
      <c r="AB51" s="36">
        <f t="shared" si="26"/>
        <v>6496674.6993753025</v>
      </c>
      <c r="AC51" s="37">
        <f t="shared" si="27"/>
        <v>13127743.919564314</v>
      </c>
      <c r="AD51" s="37">
        <f t="shared" si="19"/>
        <v>15111295.217728661</v>
      </c>
      <c r="AE51" s="37">
        <f t="shared" si="20"/>
        <v>34735713.836668275</v>
      </c>
      <c r="AF51" s="38">
        <f t="shared" si="21"/>
        <v>1.1012789071898389E-2</v>
      </c>
      <c r="AH51" s="230"/>
    </row>
    <row r="52" spans="1:34">
      <c r="A52" s="248">
        <v>58</v>
      </c>
      <c r="B52" s="4" t="s">
        <v>141</v>
      </c>
      <c r="C52" s="32">
        <v>649205075</v>
      </c>
      <c r="D52" s="32">
        <v>353219962.69999999</v>
      </c>
      <c r="E52" s="34">
        <f t="shared" si="22"/>
        <v>0.54408071702150507</v>
      </c>
      <c r="F52" s="35">
        <f t="shared" si="9"/>
        <v>192180170.57212526</v>
      </c>
      <c r="G52" s="78">
        <f t="shared" si="23"/>
        <v>7.5444129922001391E-2</v>
      </c>
      <c r="H52" s="30">
        <v>412199</v>
      </c>
      <c r="I52" s="72">
        <f t="shared" si="24"/>
        <v>7.125994175410523E-2</v>
      </c>
      <c r="J52" s="31">
        <f t="shared" si="10"/>
        <v>6.0570950490989442E-2</v>
      </c>
      <c r="K52" s="32">
        <v>60.1</v>
      </c>
      <c r="L52" s="69">
        <f t="shared" si="25"/>
        <v>9.3677326034503157E-4</v>
      </c>
      <c r="M52" s="33">
        <f t="shared" si="11"/>
        <v>1.4051598905175474E-4</v>
      </c>
      <c r="N52" s="78">
        <f t="shared" si="12"/>
        <v>6.07114664800412E-2</v>
      </c>
      <c r="O52" s="197">
        <v>47668</v>
      </c>
      <c r="P52" s="197">
        <v>40796</v>
      </c>
      <c r="Q52" s="198">
        <v>1.7340616191</v>
      </c>
      <c r="R52" s="199">
        <f t="shared" si="13"/>
        <v>3.7929902757904463E-2</v>
      </c>
      <c r="S52" s="200">
        <f t="shared" si="4"/>
        <v>6.5772788588677369E-2</v>
      </c>
      <c r="T52" s="200">
        <f t="shared" si="14"/>
        <v>3.4113545769418024E-2</v>
      </c>
      <c r="U52" s="197">
        <f t="shared" si="15"/>
        <v>22864657.686957706</v>
      </c>
      <c r="V52" s="199">
        <f t="shared" si="5"/>
        <v>1.1684478870477497</v>
      </c>
      <c r="W52" s="199">
        <f t="shared" si="16"/>
        <v>1.5526629533395704E-2</v>
      </c>
      <c r="X52" s="197">
        <f t="shared" si="17"/>
        <v>1836484.9158518806</v>
      </c>
      <c r="Y52" s="32">
        <f t="shared" si="6"/>
        <v>24701142.602809586</v>
      </c>
      <c r="Z52" s="201">
        <f t="shared" si="18"/>
        <v>3.1325508334014679E-2</v>
      </c>
      <c r="AB52" s="36">
        <f t="shared" si="26"/>
        <v>118980109.87580465</v>
      </c>
      <c r="AC52" s="37">
        <f t="shared" si="27"/>
        <v>47872889.249200501</v>
      </c>
      <c r="AD52" s="37">
        <f t="shared" si="19"/>
        <v>24701142.602809589</v>
      </c>
      <c r="AE52" s="37">
        <f t="shared" si="20"/>
        <v>191554141.72781473</v>
      </c>
      <c r="AF52" s="38">
        <f t="shared" si="21"/>
        <v>6.0731308664514642E-2</v>
      </c>
      <c r="AH52" s="230"/>
    </row>
    <row r="53" spans="1:34">
      <c r="A53" s="248">
        <v>31</v>
      </c>
      <c r="B53" s="4" t="s">
        <v>142</v>
      </c>
      <c r="C53" s="32">
        <v>1187612062</v>
      </c>
      <c r="D53" s="32">
        <v>868048268.77999997</v>
      </c>
      <c r="E53" s="34">
        <f t="shared" si="22"/>
        <v>0.73091904044672795</v>
      </c>
      <c r="F53" s="35">
        <f t="shared" si="9"/>
        <v>634473007.67812097</v>
      </c>
      <c r="G53" s="78">
        <f t="shared" si="23"/>
        <v>0.24907493775642453</v>
      </c>
      <c r="H53" s="30">
        <v>132169</v>
      </c>
      <c r="I53" s="72">
        <f t="shared" si="24"/>
        <v>2.2849049225491413E-2</v>
      </c>
      <c r="J53" s="31">
        <f t="shared" si="10"/>
        <v>1.9421691841667702E-2</v>
      </c>
      <c r="K53" s="32">
        <v>70.8</v>
      </c>
      <c r="L53" s="69">
        <f t="shared" si="25"/>
        <v>1.103553191887325E-3</v>
      </c>
      <c r="M53" s="33">
        <f t="shared" si="11"/>
        <v>1.6553297878309873E-4</v>
      </c>
      <c r="N53" s="78">
        <f t="shared" si="12"/>
        <v>1.9587224820450801E-2</v>
      </c>
      <c r="O53" s="197">
        <v>4761</v>
      </c>
      <c r="P53" s="197">
        <v>6438</v>
      </c>
      <c r="Q53" s="198">
        <v>1.903799258</v>
      </c>
      <c r="R53" s="199">
        <f t="shared" si="13"/>
        <v>5.9857023716881298E-3</v>
      </c>
      <c r="S53" s="200">
        <f t="shared" si="4"/>
        <v>1.1395575733828702E-2</v>
      </c>
      <c r="T53" s="200">
        <f t="shared" si="14"/>
        <v>5.91040007131089E-3</v>
      </c>
      <c r="U53" s="197">
        <f t="shared" si="15"/>
        <v>3961454.9404196804</v>
      </c>
      <c r="V53" s="199">
        <f t="shared" si="5"/>
        <v>0.73951537744641194</v>
      </c>
      <c r="W53" s="199">
        <f t="shared" si="16"/>
        <v>9.8268664158151723E-3</v>
      </c>
      <c r="X53" s="197">
        <f t="shared" si="17"/>
        <v>1162318.705673987</v>
      </c>
      <c r="Y53" s="32">
        <f t="shared" si="6"/>
        <v>5123773.6460936675</v>
      </c>
      <c r="Z53" s="201">
        <f t="shared" si="18"/>
        <v>6.497870022986533E-3</v>
      </c>
      <c r="AB53" s="36">
        <f t="shared" si="26"/>
        <v>392806749.73927027</v>
      </c>
      <c r="AC53" s="37">
        <f t="shared" si="27"/>
        <v>15445139.096366562</v>
      </c>
      <c r="AD53" s="37">
        <f t="shared" si="19"/>
        <v>5123773.6460936684</v>
      </c>
      <c r="AE53" s="37">
        <f t="shared" si="20"/>
        <v>413375662.48173052</v>
      </c>
      <c r="AF53" s="38">
        <f t="shared" si="21"/>
        <v>0.13105874258907155</v>
      </c>
      <c r="AH53" s="230"/>
    </row>
    <row r="54" spans="1:34">
      <c r="A54" s="248">
        <v>57</v>
      </c>
      <c r="B54" s="4" t="s">
        <v>31</v>
      </c>
      <c r="C54" s="32">
        <v>308328957</v>
      </c>
      <c r="D54" s="32">
        <v>202042327.25</v>
      </c>
      <c r="E54" s="34">
        <f t="shared" si="22"/>
        <v>0.6552817134525577</v>
      </c>
      <c r="F54" s="35">
        <f t="shared" si="9"/>
        <v>132394642.39032239</v>
      </c>
      <c r="G54" s="78">
        <f t="shared" si="23"/>
        <v>5.1974137455163445E-2</v>
      </c>
      <c r="H54" s="30">
        <v>306322</v>
      </c>
      <c r="I54" s="72">
        <f t="shared" si="24"/>
        <v>5.2956188341070756E-2</v>
      </c>
      <c r="J54" s="31">
        <f t="shared" si="10"/>
        <v>4.5012760089910141E-2</v>
      </c>
      <c r="K54" s="32">
        <v>915.8</v>
      </c>
      <c r="L54" s="69">
        <f t="shared" si="25"/>
        <v>1.4274491710881529E-2</v>
      </c>
      <c r="M54" s="33">
        <f t="shared" si="11"/>
        <v>2.1411737566322292E-3</v>
      </c>
      <c r="N54" s="78">
        <f t="shared" si="12"/>
        <v>4.7153933846542373E-2</v>
      </c>
      <c r="O54" s="197">
        <v>43432</v>
      </c>
      <c r="P54" s="197">
        <v>47092</v>
      </c>
      <c r="Q54" s="198">
        <v>1.8493369051999999</v>
      </c>
      <c r="R54" s="199">
        <f t="shared" si="13"/>
        <v>4.378358125000581E-2</v>
      </c>
      <c r="S54" s="200">
        <f t="shared" si="4"/>
        <v>8.0970592647458484E-2</v>
      </c>
      <c r="T54" s="200">
        <f t="shared" si="14"/>
        <v>4.1995999827981793E-2</v>
      </c>
      <c r="U54" s="197">
        <f t="shared" si="15"/>
        <v>28147884.912894525</v>
      </c>
      <c r="V54" s="199">
        <f t="shared" si="5"/>
        <v>0.92227979274611394</v>
      </c>
      <c r="W54" s="199">
        <f t="shared" si="16"/>
        <v>1.2255485954351926E-2</v>
      </c>
      <c r="X54" s="197">
        <f t="shared" si="17"/>
        <v>1449575.0699269483</v>
      </c>
      <c r="Y54" s="32">
        <f t="shared" si="6"/>
        <v>29597459.982821472</v>
      </c>
      <c r="Z54" s="201">
        <f t="shared" si="18"/>
        <v>3.7534922746937316E-2</v>
      </c>
      <c r="AB54" s="36">
        <f t="shared" si="26"/>
        <v>81966464.342670411</v>
      </c>
      <c r="AC54" s="37">
        <f t="shared" si="27"/>
        <v>37182350.939286985</v>
      </c>
      <c r="AD54" s="37">
        <f t="shared" si="19"/>
        <v>29597459.982821476</v>
      </c>
      <c r="AE54" s="37">
        <f t="shared" si="20"/>
        <v>148746275.26477885</v>
      </c>
      <c r="AF54" s="38">
        <f t="shared" si="21"/>
        <v>4.7159282875951627E-2</v>
      </c>
      <c r="AH54" s="230"/>
    </row>
    <row r="55" spans="1:34">
      <c r="A55" s="248">
        <v>56</v>
      </c>
      <c r="B55" s="4" t="s">
        <v>32</v>
      </c>
      <c r="C55" s="32">
        <v>208470911</v>
      </c>
      <c r="D55" s="32">
        <v>109150868.86</v>
      </c>
      <c r="E55" s="34">
        <f t="shared" si="22"/>
        <v>0.52357841358500135</v>
      </c>
      <c r="F55" s="35">
        <f t="shared" si="9"/>
        <v>57149038.759143323</v>
      </c>
      <c r="G55" s="78">
        <f t="shared" si="23"/>
        <v>2.2434986357992501E-2</v>
      </c>
      <c r="H55" s="30">
        <v>46784</v>
      </c>
      <c r="I55" s="72">
        <f t="shared" si="24"/>
        <v>8.0879019964242016E-3</v>
      </c>
      <c r="J55" s="31">
        <f t="shared" si="10"/>
        <v>6.8747166969605712E-3</v>
      </c>
      <c r="K55" s="32">
        <v>739.2</v>
      </c>
      <c r="L55" s="69">
        <f t="shared" si="25"/>
        <v>1.1521843494959192E-2</v>
      </c>
      <c r="M55" s="33">
        <f t="shared" si="11"/>
        <v>1.7282765242438787E-3</v>
      </c>
      <c r="N55" s="78">
        <f t="shared" si="12"/>
        <v>8.6029932212044503E-3</v>
      </c>
      <c r="O55" s="197">
        <v>7735</v>
      </c>
      <c r="P55" s="197">
        <v>5334</v>
      </c>
      <c r="Q55" s="198">
        <v>2.0438860060000001</v>
      </c>
      <c r="R55" s="199">
        <f t="shared" si="13"/>
        <v>4.9592631951824303E-3</v>
      </c>
      <c r="S55" s="200">
        <f t="shared" si="4"/>
        <v>1.0136168644704216E-2</v>
      </c>
      <c r="T55" s="200">
        <f t="shared" si="14"/>
        <v>5.2571992218554417E-3</v>
      </c>
      <c r="U55" s="197">
        <f t="shared" si="15"/>
        <v>3523646.0440774574</v>
      </c>
      <c r="V55" s="199">
        <f t="shared" si="5"/>
        <v>1.4501312335958005</v>
      </c>
      <c r="W55" s="199">
        <f t="shared" si="16"/>
        <v>1.9269708720803205E-2</v>
      </c>
      <c r="X55" s="197">
        <f t="shared" si="17"/>
        <v>2279215.1588661615</v>
      </c>
      <c r="Y55" s="32">
        <f t="shared" si="6"/>
        <v>5802861.2029436193</v>
      </c>
      <c r="Z55" s="201">
        <f t="shared" si="18"/>
        <v>7.3590756466976083E-3</v>
      </c>
      <c r="AB55" s="36">
        <f t="shared" si="26"/>
        <v>35381376.187860131</v>
      </c>
      <c r="AC55" s="37">
        <f t="shared" si="27"/>
        <v>6783729.0971342037</v>
      </c>
      <c r="AD55" s="37">
        <f t="shared" si="19"/>
        <v>5802861.2029436203</v>
      </c>
      <c r="AE55" s="37">
        <f t="shared" si="20"/>
        <v>47967966.487937957</v>
      </c>
      <c r="AF55" s="38">
        <f t="shared" si="21"/>
        <v>1.5208010395971762E-2</v>
      </c>
      <c r="AH55" s="230"/>
    </row>
    <row r="56" spans="1:34">
      <c r="A56" s="248">
        <v>59</v>
      </c>
      <c r="B56" s="4" t="s">
        <v>33</v>
      </c>
      <c r="C56" s="32">
        <v>4538835</v>
      </c>
      <c r="D56" s="32">
        <v>1301773</v>
      </c>
      <c r="E56" s="34">
        <f t="shared" si="22"/>
        <v>0.28680773810900817</v>
      </c>
      <c r="F56" s="35">
        <f t="shared" si="9"/>
        <v>373358.56966137787</v>
      </c>
      <c r="G56" s="78">
        <f t="shared" si="23"/>
        <v>1.4656929668222066E-4</v>
      </c>
      <c r="H56" s="30">
        <v>1552</v>
      </c>
      <c r="I56" s="72">
        <f t="shared" si="24"/>
        <v>2.6830591438206137E-4</v>
      </c>
      <c r="J56" s="31">
        <f t="shared" si="10"/>
        <v>2.2806002722475217E-4</v>
      </c>
      <c r="K56" s="32">
        <v>1764.9</v>
      </c>
      <c r="L56" s="69">
        <f t="shared" si="25"/>
        <v>2.7509336558784465E-2</v>
      </c>
      <c r="M56" s="33">
        <f t="shared" si="11"/>
        <v>4.1264004838176696E-3</v>
      </c>
      <c r="N56" s="78">
        <f t="shared" si="12"/>
        <v>4.354460511042422E-3</v>
      </c>
      <c r="O56" s="197">
        <v>549</v>
      </c>
      <c r="P56" s="197">
        <v>170</v>
      </c>
      <c r="Q56" s="198">
        <v>2.1071899398</v>
      </c>
      <c r="R56" s="199">
        <f t="shared" si="13"/>
        <v>1.5805675725178347E-4</v>
      </c>
      <c r="S56" s="200">
        <f t="shared" si="4"/>
        <v>3.3305560879836883E-4</v>
      </c>
      <c r="T56" s="200">
        <f t="shared" si="14"/>
        <v>1.7274176750444833E-4</v>
      </c>
      <c r="U56" s="197">
        <f t="shared" si="15"/>
        <v>115780.44126301407</v>
      </c>
      <c r="V56" s="199">
        <f t="shared" si="5"/>
        <v>3.2294117647058824</v>
      </c>
      <c r="W56" s="199">
        <f t="shared" si="16"/>
        <v>4.2913236129057078E-2</v>
      </c>
      <c r="X56" s="197">
        <f t="shared" si="17"/>
        <v>5075764.2327908026</v>
      </c>
      <c r="Y56" s="32">
        <f t="shared" si="6"/>
        <v>5191544.6740538171</v>
      </c>
      <c r="Z56" s="201">
        <f t="shared" si="18"/>
        <v>6.5838159217373434E-3</v>
      </c>
      <c r="AB56" s="36">
        <f t="shared" si="26"/>
        <v>231148.94481120424</v>
      </c>
      <c r="AC56" s="37">
        <f t="shared" si="27"/>
        <v>3433628.2397935814</v>
      </c>
      <c r="AD56" s="37">
        <f t="shared" si="19"/>
        <v>5191544.674053818</v>
      </c>
      <c r="AE56" s="37">
        <f t="shared" si="20"/>
        <v>8856321.8586586043</v>
      </c>
      <c r="AF56" s="38">
        <f t="shared" si="21"/>
        <v>2.8078537565360512E-3</v>
      </c>
      <c r="AH56" s="230"/>
    </row>
    <row r="57" spans="1:34">
      <c r="A57" s="248">
        <v>60</v>
      </c>
      <c r="B57" s="4" t="s">
        <v>34</v>
      </c>
      <c r="C57" s="32">
        <v>3120510</v>
      </c>
      <c r="D57" s="32">
        <v>846367</v>
      </c>
      <c r="E57" s="34">
        <f t="shared" si="22"/>
        <v>0.2712271391535358</v>
      </c>
      <c r="F57" s="35">
        <f t="shared" si="9"/>
        <v>229557.70008396063</v>
      </c>
      <c r="G57" s="78">
        <f t="shared" si="23"/>
        <v>9.011741897289249E-5</v>
      </c>
      <c r="H57" s="30">
        <v>3573</v>
      </c>
      <c r="I57" s="72">
        <f t="shared" si="24"/>
        <v>6.1769138665406279E-4</v>
      </c>
      <c r="J57" s="31">
        <f t="shared" si="10"/>
        <v>5.2503767865595338E-4</v>
      </c>
      <c r="K57" s="32">
        <v>879.3</v>
      </c>
      <c r="L57" s="69">
        <f t="shared" si="25"/>
        <v>1.3705569514498939E-2</v>
      </c>
      <c r="M57" s="33">
        <f t="shared" si="11"/>
        <v>2.0558354271748409E-3</v>
      </c>
      <c r="N57" s="78">
        <f t="shared" si="12"/>
        <v>2.5808731058307942E-3</v>
      </c>
      <c r="O57" s="197">
        <v>1377</v>
      </c>
      <c r="P57" s="197">
        <v>417</v>
      </c>
      <c r="Q57" s="198">
        <v>1.7545098130000001</v>
      </c>
      <c r="R57" s="199">
        <f t="shared" si="13"/>
        <v>3.8770392808231595E-4</v>
      </c>
      <c r="S57" s="200">
        <f t="shared" si="4"/>
        <v>6.8023034635906966E-4</v>
      </c>
      <c r="T57" s="200">
        <f t="shared" si="14"/>
        <v>3.5280652610587192E-4</v>
      </c>
      <c r="U57" s="197">
        <f t="shared" si="15"/>
        <v>236469.12882234488</v>
      </c>
      <c r="V57" s="199">
        <f t="shared" si="5"/>
        <v>3.3021582733812949</v>
      </c>
      <c r="W57" s="199">
        <f t="shared" si="16"/>
        <v>4.3879910041151653E-2</v>
      </c>
      <c r="X57" s="197">
        <f t="shared" si="17"/>
        <v>5190102.1226909142</v>
      </c>
      <c r="Y57" s="32">
        <f t="shared" si="6"/>
        <v>5426571.2515132595</v>
      </c>
      <c r="Z57" s="201">
        <f t="shared" si="18"/>
        <v>6.8818720533627403E-3</v>
      </c>
      <c r="AB57" s="36">
        <f t="shared" si="26"/>
        <v>142120.80412623083</v>
      </c>
      <c r="AC57" s="37">
        <f t="shared" si="27"/>
        <v>2035099.1258347528</v>
      </c>
      <c r="AD57" s="37">
        <f t="shared" si="19"/>
        <v>5426571.2515132604</v>
      </c>
      <c r="AE57" s="37">
        <f t="shared" si="20"/>
        <v>7603791.1814742442</v>
      </c>
      <c r="AF57" s="38">
        <f t="shared" si="21"/>
        <v>2.4107449992848292E-3</v>
      </c>
      <c r="AH57" s="230"/>
    </row>
    <row r="58" spans="1:34" ht="13.5" thickBot="1">
      <c r="B58" s="6" t="s">
        <v>35</v>
      </c>
      <c r="C58" s="82">
        <f>SUM(C7:C57)</f>
        <v>8468114430</v>
      </c>
      <c r="D58" s="82">
        <f>SUM(D7:D57)</f>
        <v>4429099910.0499992</v>
      </c>
      <c r="E58" s="43">
        <f t="shared" si="22"/>
        <v>0.52303260031052734</v>
      </c>
      <c r="F58" s="44">
        <f t="shared" ref="F58:K58" si="28">SUM(F7:F57)</f>
        <v>2547317740.5692463</v>
      </c>
      <c r="G58" s="79">
        <f t="shared" si="28"/>
        <v>1.0000000000000004</v>
      </c>
      <c r="H58" s="39">
        <f t="shared" si="28"/>
        <v>5784442</v>
      </c>
      <c r="I58" s="73">
        <f t="shared" si="28"/>
        <v>1.0000000000000002</v>
      </c>
      <c r="J58" s="40">
        <f t="shared" si="28"/>
        <v>0.8500000000000002</v>
      </c>
      <c r="K58" s="41">
        <f t="shared" si="28"/>
        <v>64156.400000000016</v>
      </c>
      <c r="L58" s="70">
        <f t="shared" si="25"/>
        <v>1</v>
      </c>
      <c r="M58" s="42">
        <f>SUM(M7:M57)</f>
        <v>0.14999999999999997</v>
      </c>
      <c r="N58" s="79">
        <f>SUM(N7:N57)</f>
        <v>0.99999999999999989</v>
      </c>
      <c r="O58" s="202">
        <f>SUM(O7:O57)</f>
        <v>964355</v>
      </c>
      <c r="P58" s="203">
        <f t="shared" ref="P58:Y58" si="29">SUM(P7:P57)</f>
        <v>1075563</v>
      </c>
      <c r="Q58" s="204">
        <f t="shared" si="29"/>
        <v>98.366423307599987</v>
      </c>
      <c r="R58" s="204">
        <f>SUM(R7:R57)</f>
        <v>0.99999999999999989</v>
      </c>
      <c r="S58" s="205">
        <f t="shared" si="29"/>
        <v>1.9280548856824229</v>
      </c>
      <c r="T58" s="205">
        <f t="shared" si="29"/>
        <v>1</v>
      </c>
      <c r="U58" s="203">
        <f t="shared" si="29"/>
        <v>670251572.24950004</v>
      </c>
      <c r="V58" s="204">
        <f>SUM(V7:V57)</f>
        <v>75.254444922162563</v>
      </c>
      <c r="W58" s="204">
        <f t="shared" si="29"/>
        <v>1</v>
      </c>
      <c r="X58" s="206">
        <f t="shared" si="29"/>
        <v>118279689.22049999</v>
      </c>
      <c r="Y58" s="202">
        <f t="shared" si="29"/>
        <v>788531261.46999979</v>
      </c>
      <c r="Z58" s="207">
        <f>SUM(Z7:Z57)</f>
        <v>0.99999999999999989</v>
      </c>
      <c r="AB58" s="45">
        <f>SUM(AB7:AB57)</f>
        <v>1577062522.9400003</v>
      </c>
      <c r="AC58" s="46">
        <f>SUM(AC7:AC57)</f>
        <v>788531261.46999955</v>
      </c>
      <c r="AD58" s="46">
        <f>SUM(AD7:AD57)</f>
        <v>788531261.47000003</v>
      </c>
      <c r="AE58" s="46">
        <f>SUM(AE7:AE57)</f>
        <v>3154125045.8800006</v>
      </c>
      <c r="AF58" s="47">
        <f>SUM(AF7:AF57)</f>
        <v>0.99999999999999989</v>
      </c>
    </row>
    <row r="59" spans="1:34" ht="13.5" thickTop="1">
      <c r="L59" s="49"/>
      <c r="S59" s="51"/>
    </row>
    <row r="60" spans="1:34" ht="86.45" customHeight="1">
      <c r="C60" s="293" t="s">
        <v>209</v>
      </c>
      <c r="D60" s="293"/>
      <c r="E60" s="293"/>
      <c r="F60" s="293"/>
      <c r="G60" s="293"/>
      <c r="L60" s="49"/>
      <c r="S60" s="51"/>
    </row>
    <row r="61" spans="1:34">
      <c r="S61" s="52"/>
      <c r="T61" s="52"/>
    </row>
    <row r="62" spans="1:34">
      <c r="S62" s="51"/>
    </row>
    <row r="63" spans="1:34">
      <c r="S63" s="51"/>
    </row>
    <row r="64" spans="1:34">
      <c r="S64" s="51"/>
    </row>
    <row r="65" spans="10:25">
      <c r="J65" s="11"/>
      <c r="M65" s="11"/>
      <c r="N65" s="11"/>
      <c r="S65" s="51"/>
      <c r="Y65" s="11"/>
    </row>
    <row r="66" spans="10:25">
      <c r="J66" s="11"/>
      <c r="M66" s="11"/>
      <c r="N66" s="11"/>
      <c r="S66" s="51"/>
      <c r="Y66" s="11"/>
    </row>
    <row r="67" spans="10:25">
      <c r="J67" s="11"/>
      <c r="M67" s="11"/>
      <c r="N67" s="11"/>
      <c r="S67" s="51"/>
      <c r="Y67" s="11"/>
    </row>
    <row r="68" spans="10:25">
      <c r="J68" s="11"/>
      <c r="M68" s="11"/>
      <c r="N68" s="11"/>
      <c r="S68" s="51"/>
      <c r="Y68" s="11"/>
    </row>
    <row r="69" spans="10:25">
      <c r="J69" s="11"/>
      <c r="M69" s="11"/>
      <c r="N69" s="11"/>
      <c r="S69" s="51"/>
      <c r="Y69" s="11"/>
    </row>
    <row r="70" spans="10:25">
      <c r="J70" s="11"/>
      <c r="M70" s="11"/>
      <c r="N70" s="11"/>
      <c r="S70" s="51"/>
      <c r="Y70" s="11"/>
    </row>
    <row r="71" spans="10:25">
      <c r="J71" s="11"/>
      <c r="M71" s="11"/>
      <c r="N71" s="11"/>
      <c r="S71" s="51"/>
      <c r="Y71" s="11"/>
    </row>
    <row r="72" spans="10:25">
      <c r="J72" s="11"/>
      <c r="M72" s="11"/>
      <c r="N72" s="11"/>
      <c r="S72" s="51"/>
      <c r="Y72" s="11"/>
    </row>
    <row r="73" spans="10:25">
      <c r="J73" s="11"/>
      <c r="M73" s="11"/>
      <c r="N73" s="11"/>
      <c r="S73" s="51"/>
      <c r="Y73" s="11"/>
    </row>
    <row r="74" spans="10:25">
      <c r="J74" s="11"/>
      <c r="M74" s="11"/>
      <c r="N74" s="11"/>
      <c r="S74" s="51"/>
      <c r="Y74" s="11"/>
    </row>
    <row r="75" spans="10:25">
      <c r="J75" s="11"/>
      <c r="M75" s="11"/>
      <c r="N75" s="11"/>
      <c r="S75" s="51"/>
      <c r="Y75" s="11"/>
    </row>
    <row r="76" spans="10:25">
      <c r="J76" s="11"/>
      <c r="M76" s="11"/>
      <c r="N76" s="11"/>
      <c r="S76" s="51"/>
      <c r="Y76" s="11"/>
    </row>
    <row r="77" spans="10:25">
      <c r="J77" s="11"/>
      <c r="M77" s="11"/>
      <c r="N77" s="11"/>
      <c r="S77" s="51"/>
      <c r="Y77" s="11"/>
    </row>
    <row r="78" spans="10:25">
      <c r="J78" s="11"/>
      <c r="M78" s="11"/>
      <c r="N78" s="11"/>
      <c r="S78" s="51"/>
      <c r="Y78" s="11"/>
    </row>
    <row r="79" spans="10:25">
      <c r="J79" s="11"/>
      <c r="M79" s="11"/>
      <c r="N79" s="11"/>
      <c r="S79" s="51"/>
      <c r="Y79" s="11"/>
    </row>
    <row r="80" spans="10:25">
      <c r="J80" s="11"/>
      <c r="M80" s="11"/>
      <c r="N80" s="11"/>
      <c r="S80" s="51"/>
      <c r="Y80" s="11"/>
    </row>
    <row r="81" spans="10:25">
      <c r="J81" s="11"/>
      <c r="M81" s="11"/>
      <c r="N81" s="11"/>
      <c r="S81" s="51"/>
      <c r="Y81" s="11"/>
    </row>
    <row r="82" spans="10:25">
      <c r="J82" s="11"/>
      <c r="M82" s="11"/>
      <c r="N82" s="11"/>
      <c r="S82" s="51"/>
      <c r="Y82" s="11"/>
    </row>
    <row r="83" spans="10:25">
      <c r="J83" s="11"/>
      <c r="M83" s="11"/>
      <c r="N83" s="11"/>
      <c r="S83" s="51"/>
      <c r="Y83" s="11"/>
    </row>
    <row r="84" spans="10:25">
      <c r="J84" s="11"/>
      <c r="M84" s="11"/>
      <c r="N84" s="11"/>
      <c r="S84" s="51"/>
      <c r="Y84" s="11"/>
    </row>
    <row r="85" spans="10:25">
      <c r="J85" s="11"/>
      <c r="M85" s="11"/>
      <c r="N85" s="11"/>
      <c r="S85" s="51"/>
      <c r="Y85" s="11"/>
    </row>
    <row r="86" spans="10:25">
      <c r="J86" s="11"/>
      <c r="M86" s="11"/>
      <c r="N86" s="11"/>
      <c r="S86" s="51"/>
      <c r="Y86" s="11"/>
    </row>
    <row r="87" spans="10:25">
      <c r="J87" s="11"/>
      <c r="M87" s="11"/>
      <c r="N87" s="11"/>
      <c r="S87" s="51"/>
      <c r="Y87" s="11"/>
    </row>
  </sheetData>
  <mergeCells count="7">
    <mergeCell ref="C60:G60"/>
    <mergeCell ref="AB3:AF3"/>
    <mergeCell ref="C3:G3"/>
    <mergeCell ref="H3:N3"/>
    <mergeCell ref="O3:R3"/>
    <mergeCell ref="S3:V3"/>
    <mergeCell ref="X3:Y3"/>
  </mergeCells>
  <phoneticPr fontId="0" type="noConversion"/>
  <conditionalFormatting sqref="AH7:AH57">
    <cfRule type="top10" dxfId="0" priority="2" rank="5"/>
  </conditionalFormatting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3" manualBreakCount="3">
    <brk id="7" max="1048575" man="1"/>
    <brk id="14" max="1048575" man="1"/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showGridLines="0" workbookViewId="0"/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2.7109375" style="11" customWidth="1"/>
    <col min="4" max="8" width="11.7109375" style="11" customWidth="1"/>
    <col min="9" max="9" width="13.85546875" style="11" bestFit="1" customWidth="1"/>
    <col min="10" max="10" width="13.7109375" style="11" customWidth="1"/>
    <col min="11" max="16384" width="9.7109375" style="11"/>
  </cols>
  <sheetData>
    <row r="1" spans="1:10" ht="47.25" customHeight="1">
      <c r="B1" s="296" t="s">
        <v>204</v>
      </c>
      <c r="C1" s="296"/>
      <c r="D1" s="296"/>
      <c r="E1" s="296"/>
      <c r="F1" s="296"/>
      <c r="G1" s="296"/>
      <c r="H1" s="296"/>
      <c r="I1" s="296"/>
    </row>
    <row r="2" spans="1:10" ht="8.25" customHeight="1" thickBot="1"/>
    <row r="3" spans="1:10" ht="13.5" customHeight="1" thickBot="1">
      <c r="B3" s="297" t="s">
        <v>0</v>
      </c>
      <c r="C3" s="299" t="s">
        <v>202</v>
      </c>
      <c r="D3" s="300"/>
      <c r="E3" s="300"/>
      <c r="F3" s="300"/>
      <c r="G3" s="300"/>
      <c r="H3" s="300"/>
      <c r="I3" s="300"/>
      <c r="J3" s="301"/>
    </row>
    <row r="4" spans="1:10" ht="26.25" thickBot="1">
      <c r="B4" s="298"/>
      <c r="C4" s="209" t="s">
        <v>78</v>
      </c>
      <c r="D4" s="8" t="s">
        <v>145</v>
      </c>
      <c r="E4" s="8" t="s">
        <v>79</v>
      </c>
      <c r="F4" s="8" t="s">
        <v>89</v>
      </c>
      <c r="G4" s="8" t="s">
        <v>99</v>
      </c>
      <c r="H4" s="8" t="s">
        <v>100</v>
      </c>
      <c r="I4" s="8" t="s">
        <v>36</v>
      </c>
      <c r="J4" s="8" t="s">
        <v>203</v>
      </c>
    </row>
    <row r="5" spans="1:10" ht="15.75" thickBot="1"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thickTop="1">
      <c r="A6" s="248">
        <v>15</v>
      </c>
      <c r="B6" s="2" t="s">
        <v>1</v>
      </c>
      <c r="C6" s="3">
        <v>8456683.4800000004</v>
      </c>
      <c r="D6" s="3">
        <v>1154944.1599999999</v>
      </c>
      <c r="E6" s="3">
        <v>283974.84000000003</v>
      </c>
      <c r="F6" s="3">
        <v>478710.51</v>
      </c>
      <c r="G6" s="3">
        <v>235438.53</v>
      </c>
      <c r="H6" s="3">
        <v>50454.75</v>
      </c>
      <c r="I6" s="249">
        <f>SUM(C6:H6)</f>
        <v>10660206.27</v>
      </c>
      <c r="J6" s="253">
        <f>+I6/I$57</f>
        <v>1.2861627539794776E-3</v>
      </c>
    </row>
    <row r="7" spans="1:10" ht="12.75" customHeight="1">
      <c r="A7" s="248">
        <v>11</v>
      </c>
      <c r="B7" s="4" t="s">
        <v>2</v>
      </c>
      <c r="C7" s="5">
        <v>16270247.26</v>
      </c>
      <c r="D7" s="107">
        <v>2222056.33</v>
      </c>
      <c r="E7" s="107">
        <v>546353.77</v>
      </c>
      <c r="F7" s="107">
        <v>921015.71</v>
      </c>
      <c r="G7" s="107">
        <v>452972.26</v>
      </c>
      <c r="H7" s="107">
        <v>97072.48</v>
      </c>
      <c r="I7" s="250">
        <f t="shared" ref="I7:I56" si="0">SUM(C7:H7)</f>
        <v>20509717.810000002</v>
      </c>
      <c r="J7" s="254">
        <f t="shared" ref="J7:J56" si="1">+I7/I$57</f>
        <v>2.4745145144223881E-3</v>
      </c>
    </row>
    <row r="8" spans="1:10" ht="12.75" customHeight="1">
      <c r="A8" s="248">
        <v>12</v>
      </c>
      <c r="B8" s="4" t="s">
        <v>143</v>
      </c>
      <c r="C8" s="5">
        <v>17073492.140000001</v>
      </c>
      <c r="D8" s="107">
        <v>2331756.9</v>
      </c>
      <c r="E8" s="107">
        <v>573326.68000000005</v>
      </c>
      <c r="F8" s="107">
        <v>966485.28</v>
      </c>
      <c r="G8" s="107">
        <v>475335.02</v>
      </c>
      <c r="H8" s="107">
        <v>101864.84</v>
      </c>
      <c r="I8" s="250">
        <f t="shared" si="0"/>
        <v>21522260.859999999</v>
      </c>
      <c r="J8" s="254">
        <f t="shared" si="1"/>
        <v>2.5966786756709088E-3</v>
      </c>
    </row>
    <row r="9" spans="1:10" ht="12.75" customHeight="1">
      <c r="A9" s="248">
        <v>13</v>
      </c>
      <c r="B9" s="4" t="s">
        <v>3</v>
      </c>
      <c r="C9" s="5">
        <v>47100062.189999998</v>
      </c>
      <c r="D9" s="107">
        <v>6432538.46</v>
      </c>
      <c r="E9" s="107">
        <v>1581616.81</v>
      </c>
      <c r="F9" s="107">
        <v>2666210.0699999998</v>
      </c>
      <c r="G9" s="107">
        <v>1311290.56</v>
      </c>
      <c r="H9" s="107">
        <v>281011.08</v>
      </c>
      <c r="I9" s="250">
        <f t="shared" si="0"/>
        <v>59372729.170000002</v>
      </c>
      <c r="J9" s="254">
        <f t="shared" si="1"/>
        <v>7.1633691625147952E-3</v>
      </c>
    </row>
    <row r="10" spans="1:10" ht="12.75" customHeight="1">
      <c r="A10" s="248">
        <v>14</v>
      </c>
      <c r="B10" s="4" t="s">
        <v>144</v>
      </c>
      <c r="C10" s="5">
        <v>59127255.659999996</v>
      </c>
      <c r="D10" s="107">
        <v>8075113.46</v>
      </c>
      <c r="E10" s="107">
        <v>1985489.12</v>
      </c>
      <c r="F10" s="107">
        <v>3347037.71</v>
      </c>
      <c r="G10" s="107">
        <v>1646133.97</v>
      </c>
      <c r="H10" s="107">
        <v>352768.4</v>
      </c>
      <c r="I10" s="250">
        <f t="shared" si="0"/>
        <v>74533798.319999993</v>
      </c>
      <c r="J10" s="254">
        <f t="shared" si="1"/>
        <v>8.992564766929426E-3</v>
      </c>
    </row>
    <row r="11" spans="1:10" ht="12.75" customHeight="1">
      <c r="A11" s="248">
        <v>17</v>
      </c>
      <c r="B11" s="4" t="s">
        <v>4</v>
      </c>
      <c r="C11" s="5">
        <v>405989025.50999999</v>
      </c>
      <c r="D11" s="107">
        <v>55446636.350000001</v>
      </c>
      <c r="E11" s="107">
        <v>13633083.18</v>
      </c>
      <c r="F11" s="107">
        <v>22981966.010000002</v>
      </c>
      <c r="G11" s="107">
        <v>11302948.529999999</v>
      </c>
      <c r="H11" s="107">
        <v>2422234.86</v>
      </c>
      <c r="I11" s="250">
        <f t="shared" si="0"/>
        <v>511775894.44</v>
      </c>
      <c r="J11" s="254">
        <f t="shared" si="1"/>
        <v>6.1746187375909083E-2</v>
      </c>
    </row>
    <row r="12" spans="1:10" ht="12.75" customHeight="1">
      <c r="A12" s="248">
        <v>16</v>
      </c>
      <c r="B12" s="4" t="s">
        <v>5</v>
      </c>
      <c r="C12" s="5">
        <v>67494144.25</v>
      </c>
      <c r="D12" s="107">
        <v>9217794.1699999999</v>
      </c>
      <c r="E12" s="107">
        <v>2266448.66</v>
      </c>
      <c r="F12" s="107">
        <v>3820665.17</v>
      </c>
      <c r="G12" s="107">
        <v>1879072.56</v>
      </c>
      <c r="H12" s="107">
        <v>402687.41</v>
      </c>
      <c r="I12" s="250">
        <f t="shared" si="0"/>
        <v>85080812.219999999</v>
      </c>
      <c r="J12" s="254">
        <f t="shared" si="1"/>
        <v>1.0265070767311334E-2</v>
      </c>
    </row>
    <row r="13" spans="1:10" ht="12.75" customHeight="1">
      <c r="A13" s="248">
        <v>18</v>
      </c>
      <c r="B13" s="4" t="s">
        <v>6</v>
      </c>
      <c r="C13" s="5">
        <v>10731926.619999999</v>
      </c>
      <c r="D13" s="107">
        <v>1465678.12</v>
      </c>
      <c r="E13" s="107">
        <v>360377.35</v>
      </c>
      <c r="F13" s="107">
        <v>607506.01</v>
      </c>
      <c r="G13" s="107">
        <v>298782.5</v>
      </c>
      <c r="H13" s="107">
        <v>64029.43</v>
      </c>
      <c r="I13" s="250">
        <f t="shared" si="0"/>
        <v>13528300.029999997</v>
      </c>
      <c r="J13" s="254">
        <f t="shared" si="1"/>
        <v>1.6322006518965273E-3</v>
      </c>
    </row>
    <row r="14" spans="1:10" ht="12.75" customHeight="1">
      <c r="A14" s="248">
        <v>19</v>
      </c>
      <c r="B14" s="4" t="s">
        <v>128</v>
      </c>
      <c r="C14" s="5">
        <v>106677450.62</v>
      </c>
      <c r="D14" s="107">
        <v>14569127.34</v>
      </c>
      <c r="E14" s="107">
        <v>3582221.36</v>
      </c>
      <c r="F14" s="107">
        <v>6038728.6100000003</v>
      </c>
      <c r="G14" s="107">
        <v>2969956.47</v>
      </c>
      <c r="H14" s="107">
        <v>636465.09</v>
      </c>
      <c r="I14" s="250">
        <f t="shared" si="0"/>
        <v>134473949.49000001</v>
      </c>
      <c r="J14" s="254">
        <f t="shared" si="1"/>
        <v>1.6224393865744174E-2</v>
      </c>
    </row>
    <row r="15" spans="1:10" ht="12.75" customHeight="1">
      <c r="A15" s="248">
        <v>20</v>
      </c>
      <c r="B15" s="4" t="s">
        <v>129</v>
      </c>
      <c r="C15" s="5">
        <v>18469977.07</v>
      </c>
      <c r="D15" s="107">
        <v>2522477.2999999998</v>
      </c>
      <c r="E15" s="107">
        <v>620220.54</v>
      </c>
      <c r="F15" s="107">
        <v>1045536.6</v>
      </c>
      <c r="G15" s="107">
        <v>514213.9</v>
      </c>
      <c r="H15" s="107">
        <v>110196.63</v>
      </c>
      <c r="I15" s="250">
        <f t="shared" si="0"/>
        <v>23282622.039999999</v>
      </c>
      <c r="J15" s="254">
        <f t="shared" si="1"/>
        <v>2.8090677163632111E-3</v>
      </c>
    </row>
    <row r="16" spans="1:10" ht="12.75" customHeight="1">
      <c r="A16" s="248">
        <v>23</v>
      </c>
      <c r="B16" s="4" t="s">
        <v>130</v>
      </c>
      <c r="C16" s="5">
        <v>25750823.350000001</v>
      </c>
      <c r="D16" s="107">
        <v>3516835.3</v>
      </c>
      <c r="E16" s="107">
        <v>864710.85</v>
      </c>
      <c r="F16" s="107">
        <v>1457686.07</v>
      </c>
      <c r="G16" s="107">
        <v>716916.5</v>
      </c>
      <c r="H16" s="107">
        <v>153636.03</v>
      </c>
      <c r="I16" s="250">
        <f t="shared" si="0"/>
        <v>32460608.100000005</v>
      </c>
      <c r="J16" s="254">
        <f t="shared" si="1"/>
        <v>3.9163993690475322E-3</v>
      </c>
    </row>
    <row r="17" spans="1:10" ht="12.75" customHeight="1">
      <c r="A17" s="248">
        <v>21</v>
      </c>
      <c r="B17" s="4" t="s">
        <v>7</v>
      </c>
      <c r="C17" s="5">
        <v>54157749.329999998</v>
      </c>
      <c r="D17" s="107">
        <v>7396419.2199999997</v>
      </c>
      <c r="E17" s="107">
        <v>1818613.45</v>
      </c>
      <c r="F17" s="107">
        <v>3065727.09</v>
      </c>
      <c r="G17" s="107">
        <v>1507780.3</v>
      </c>
      <c r="H17" s="107">
        <v>323119.05</v>
      </c>
      <c r="I17" s="250">
        <f t="shared" si="0"/>
        <v>68269408.439999998</v>
      </c>
      <c r="J17" s="254">
        <f t="shared" si="1"/>
        <v>8.2367609169855388E-3</v>
      </c>
    </row>
    <row r="18" spans="1:10" ht="12.75" customHeight="1">
      <c r="A18" s="248">
        <v>22</v>
      </c>
      <c r="B18" s="4" t="s">
        <v>131</v>
      </c>
      <c r="C18" s="5">
        <v>27763179.960000001</v>
      </c>
      <c r="D18" s="107">
        <v>3791666.39</v>
      </c>
      <c r="E18" s="107">
        <v>932285.65</v>
      </c>
      <c r="F18" s="107">
        <v>1571600.26</v>
      </c>
      <c r="G18" s="107">
        <v>772941.57</v>
      </c>
      <c r="H18" s="107">
        <v>165642.26999999999</v>
      </c>
      <c r="I18" s="250">
        <f t="shared" si="0"/>
        <v>34997316.100000001</v>
      </c>
      <c r="J18" s="254">
        <f t="shared" si="1"/>
        <v>4.2224552993632E-3</v>
      </c>
    </row>
    <row r="19" spans="1:10" ht="12.75" customHeight="1">
      <c r="A19" s="248">
        <v>25</v>
      </c>
      <c r="B19" s="4" t="s">
        <v>8</v>
      </c>
      <c r="C19" s="5">
        <v>151914214.69</v>
      </c>
      <c r="D19" s="107">
        <v>20747191.890000001</v>
      </c>
      <c r="E19" s="107">
        <v>5101268.74</v>
      </c>
      <c r="F19" s="107">
        <v>8599462.3000000007</v>
      </c>
      <c r="G19" s="107">
        <v>4229371.83</v>
      </c>
      <c r="H19" s="107">
        <v>906359.25</v>
      </c>
      <c r="I19" s="250">
        <f t="shared" si="0"/>
        <v>191497868.70000002</v>
      </c>
      <c r="J19" s="254">
        <f t="shared" si="1"/>
        <v>2.3104377152768963E-2</v>
      </c>
    </row>
    <row r="20" spans="1:10" ht="12.75" customHeight="1">
      <c r="A20" s="248">
        <v>27</v>
      </c>
      <c r="B20" s="4" t="s">
        <v>9</v>
      </c>
      <c r="C20" s="5">
        <v>19268404.920000002</v>
      </c>
      <c r="D20" s="107">
        <v>2631520</v>
      </c>
      <c r="E20" s="107">
        <v>647031.68999999994</v>
      </c>
      <c r="F20" s="107">
        <v>1090733.49</v>
      </c>
      <c r="G20" s="107">
        <v>536442.55000000005</v>
      </c>
      <c r="H20" s="107">
        <v>114960.26</v>
      </c>
      <c r="I20" s="250">
        <f t="shared" si="0"/>
        <v>24289092.910000004</v>
      </c>
      <c r="J20" s="254">
        <f t="shared" si="1"/>
        <v>2.9304992640436975E-3</v>
      </c>
    </row>
    <row r="21" spans="1:10" ht="12.75" customHeight="1">
      <c r="A21" s="248">
        <v>26</v>
      </c>
      <c r="B21" s="4" t="s">
        <v>132</v>
      </c>
      <c r="C21" s="5">
        <v>13505797.789999999</v>
      </c>
      <c r="D21" s="107">
        <v>1844510.59</v>
      </c>
      <c r="E21" s="107">
        <v>453523.75</v>
      </c>
      <c r="F21" s="107">
        <v>764527.53</v>
      </c>
      <c r="G21" s="107">
        <v>376008.53</v>
      </c>
      <c r="H21" s="107">
        <v>80579.06</v>
      </c>
      <c r="I21" s="250">
        <f t="shared" si="0"/>
        <v>17024947.249999996</v>
      </c>
      <c r="J21" s="254">
        <f t="shared" si="1"/>
        <v>2.0540740476136517E-3</v>
      </c>
    </row>
    <row r="22" spans="1:10" ht="12.75" customHeight="1">
      <c r="A22" s="248">
        <v>29</v>
      </c>
      <c r="B22" s="4" t="s">
        <v>10</v>
      </c>
      <c r="C22" s="5">
        <v>117677666.58</v>
      </c>
      <c r="D22" s="107">
        <v>16071446.210000001</v>
      </c>
      <c r="E22" s="107">
        <v>3951607.84</v>
      </c>
      <c r="F22" s="107">
        <v>6661421.7699999996</v>
      </c>
      <c r="G22" s="107">
        <v>3276208.28</v>
      </c>
      <c r="H22" s="107">
        <v>702095.2</v>
      </c>
      <c r="I22" s="250">
        <f t="shared" si="0"/>
        <v>148340445.88</v>
      </c>
      <c r="J22" s="254">
        <f t="shared" si="1"/>
        <v>1.789739818979736E-2</v>
      </c>
    </row>
    <row r="23" spans="1:10" ht="12.75" customHeight="1">
      <c r="A23" s="248">
        <v>30</v>
      </c>
      <c r="B23" s="4" t="s">
        <v>133</v>
      </c>
      <c r="C23" s="5">
        <v>145685695.75999999</v>
      </c>
      <c r="D23" s="107">
        <v>19896552.09</v>
      </c>
      <c r="E23" s="107">
        <v>4892115.51</v>
      </c>
      <c r="F23" s="107">
        <v>8246882.2999999998</v>
      </c>
      <c r="G23" s="107">
        <v>4055966.58</v>
      </c>
      <c r="H23" s="107">
        <v>869198.3</v>
      </c>
      <c r="I23" s="250">
        <f t="shared" si="0"/>
        <v>183646410.54000002</v>
      </c>
      <c r="J23" s="254">
        <f t="shared" si="1"/>
        <v>2.2157092194668406E-2</v>
      </c>
    </row>
    <row r="24" spans="1:10" ht="12.75" customHeight="1">
      <c r="A24" s="248">
        <v>32</v>
      </c>
      <c r="B24" s="4" t="s">
        <v>11</v>
      </c>
      <c r="C24" s="5">
        <v>22617688.309999999</v>
      </c>
      <c r="D24" s="107">
        <v>3088937.53</v>
      </c>
      <c r="E24" s="107">
        <v>759500.4</v>
      </c>
      <c r="F24" s="107">
        <v>1280327.57</v>
      </c>
      <c r="G24" s="107">
        <v>629688.37</v>
      </c>
      <c r="H24" s="107">
        <v>134942.94</v>
      </c>
      <c r="I24" s="250">
        <f t="shared" si="0"/>
        <v>28511085.120000001</v>
      </c>
      <c r="J24" s="254">
        <f t="shared" si="1"/>
        <v>3.4398861361697184E-3</v>
      </c>
    </row>
    <row r="25" spans="1:10" ht="12.75" customHeight="1">
      <c r="A25" s="248">
        <v>33</v>
      </c>
      <c r="B25" s="4" t="s">
        <v>12</v>
      </c>
      <c r="C25" s="5">
        <v>309170413.64999998</v>
      </c>
      <c r="D25" s="107">
        <v>42223947.990000002</v>
      </c>
      <c r="E25" s="107">
        <v>10381920.939999999</v>
      </c>
      <c r="F25" s="107">
        <v>17501320.210000001</v>
      </c>
      <c r="G25" s="107">
        <v>8607467.3300000001</v>
      </c>
      <c r="H25" s="107">
        <v>1844590.14</v>
      </c>
      <c r="I25" s="250">
        <f t="shared" si="0"/>
        <v>389729660.25999993</v>
      </c>
      <c r="J25" s="254">
        <f t="shared" si="1"/>
        <v>4.7021207700091501E-2</v>
      </c>
    </row>
    <row r="26" spans="1:10" ht="12.75" customHeight="1">
      <c r="A26" s="248">
        <v>34</v>
      </c>
      <c r="B26" s="4" t="s">
        <v>134</v>
      </c>
      <c r="C26" s="5">
        <v>45647843.009999998</v>
      </c>
      <c r="D26" s="107">
        <v>6234206.3300000001</v>
      </c>
      <c r="E26" s="107">
        <v>1532851.39</v>
      </c>
      <c r="F26" s="107">
        <v>2584003.7799999998</v>
      </c>
      <c r="G26" s="107">
        <v>1270860.02</v>
      </c>
      <c r="H26" s="107">
        <v>272346.76</v>
      </c>
      <c r="I26" s="250">
        <f t="shared" si="0"/>
        <v>57542111.289999999</v>
      </c>
      <c r="J26" s="254">
        <f t="shared" si="1"/>
        <v>6.9425035925257004E-3</v>
      </c>
    </row>
    <row r="27" spans="1:10" ht="12.75" customHeight="1">
      <c r="A27" s="248">
        <v>35</v>
      </c>
      <c r="B27" s="4" t="s">
        <v>13</v>
      </c>
      <c r="C27" s="5">
        <v>7432606.0899999999</v>
      </c>
      <c r="D27" s="107">
        <v>1015084.11</v>
      </c>
      <c r="E27" s="107">
        <v>249586.39</v>
      </c>
      <c r="F27" s="107">
        <v>420740.19</v>
      </c>
      <c r="G27" s="107">
        <v>206927.67</v>
      </c>
      <c r="H27" s="107">
        <v>44344.84</v>
      </c>
      <c r="I27" s="250">
        <f t="shared" si="0"/>
        <v>9369289.2899999991</v>
      </c>
      <c r="J27" s="254">
        <f t="shared" si="1"/>
        <v>1.1304125465160277E-3</v>
      </c>
    </row>
    <row r="28" spans="1:10" ht="12.75" customHeight="1">
      <c r="A28" s="248">
        <v>61</v>
      </c>
      <c r="B28" s="4" t="s">
        <v>14</v>
      </c>
      <c r="C28" s="5">
        <v>33953602.020000003</v>
      </c>
      <c r="D28" s="107">
        <v>4637103.24</v>
      </c>
      <c r="E28" s="107">
        <v>1140159.5900000001</v>
      </c>
      <c r="F28" s="107">
        <v>1922023.7</v>
      </c>
      <c r="G28" s="107">
        <v>945286.18</v>
      </c>
      <c r="H28" s="107">
        <v>202575.92</v>
      </c>
      <c r="I28" s="250">
        <f t="shared" si="0"/>
        <v>42800750.650000013</v>
      </c>
      <c r="J28" s="254">
        <f t="shared" si="1"/>
        <v>5.1639461689696681E-3</v>
      </c>
    </row>
    <row r="29" spans="1:10" ht="12.75" customHeight="1">
      <c r="A29" s="248">
        <v>36</v>
      </c>
      <c r="B29" s="4" t="s">
        <v>15</v>
      </c>
      <c r="C29" s="5">
        <v>33767565.25</v>
      </c>
      <c r="D29" s="107">
        <v>4611695.87</v>
      </c>
      <c r="E29" s="107">
        <v>1133912.49</v>
      </c>
      <c r="F29" s="107">
        <v>1911492.65</v>
      </c>
      <c r="G29" s="107">
        <v>940106.82</v>
      </c>
      <c r="H29" s="107">
        <v>201465.97</v>
      </c>
      <c r="I29" s="250">
        <f t="shared" si="0"/>
        <v>42566239.049999997</v>
      </c>
      <c r="J29" s="254">
        <f t="shared" si="1"/>
        <v>5.1356521493553407E-3</v>
      </c>
    </row>
    <row r="30" spans="1:10" ht="12.75" customHeight="1">
      <c r="A30" s="248">
        <v>28</v>
      </c>
      <c r="B30" s="4" t="s">
        <v>16</v>
      </c>
      <c r="C30" s="5">
        <v>528778679.38</v>
      </c>
      <c r="D30" s="107">
        <v>72216235.670000002</v>
      </c>
      <c r="E30" s="107">
        <v>17756351.190000001</v>
      </c>
      <c r="F30" s="107">
        <v>29932763.879999999</v>
      </c>
      <c r="G30" s="107">
        <v>14721477.23</v>
      </c>
      <c r="H30" s="107">
        <v>3154829.49</v>
      </c>
      <c r="I30" s="250">
        <f t="shared" si="0"/>
        <v>666560336.84000003</v>
      </c>
      <c r="J30" s="254">
        <f t="shared" si="1"/>
        <v>8.0421059106168938E-2</v>
      </c>
    </row>
    <row r="31" spans="1:10" ht="12.75" customHeight="1">
      <c r="A31" s="248">
        <v>37</v>
      </c>
      <c r="B31" s="4" t="s">
        <v>135</v>
      </c>
      <c r="C31" s="5">
        <v>13615833.84</v>
      </c>
      <c r="D31" s="107">
        <v>1859538.41</v>
      </c>
      <c r="E31" s="107">
        <v>457218.75</v>
      </c>
      <c r="F31" s="107">
        <v>770756.38</v>
      </c>
      <c r="G31" s="107">
        <v>379071.99</v>
      </c>
      <c r="H31" s="107">
        <v>81235.56</v>
      </c>
      <c r="I31" s="250">
        <f t="shared" si="0"/>
        <v>17163654.93</v>
      </c>
      <c r="J31" s="254">
        <f t="shared" si="1"/>
        <v>2.0708092445871819E-3</v>
      </c>
    </row>
    <row r="32" spans="1:10" ht="12.75" customHeight="1">
      <c r="A32" s="248">
        <v>39</v>
      </c>
      <c r="B32" s="4" t="s">
        <v>17</v>
      </c>
      <c r="C32" s="5">
        <v>23437552.559999999</v>
      </c>
      <c r="D32" s="107">
        <v>3200907.84</v>
      </c>
      <c r="E32" s="107">
        <v>787031.38</v>
      </c>
      <c r="F32" s="107">
        <v>1326737.9199999999</v>
      </c>
      <c r="G32" s="107">
        <v>652513.81999999995</v>
      </c>
      <c r="H32" s="107">
        <v>139834.46</v>
      </c>
      <c r="I32" s="250">
        <f t="shared" si="0"/>
        <v>29544577.979999997</v>
      </c>
      <c r="J32" s="254">
        <f t="shared" si="1"/>
        <v>3.5645779094214684E-3</v>
      </c>
    </row>
    <row r="33" spans="1:10" ht="12.75" customHeight="1">
      <c r="A33" s="248">
        <v>38</v>
      </c>
      <c r="B33" s="4" t="s">
        <v>18</v>
      </c>
      <c r="C33" s="5">
        <v>13451370.800000001</v>
      </c>
      <c r="D33" s="107">
        <v>1837077.4</v>
      </c>
      <c r="E33" s="107">
        <v>451696.09</v>
      </c>
      <c r="F33" s="107">
        <v>761446.56</v>
      </c>
      <c r="G33" s="107">
        <v>374493.26</v>
      </c>
      <c r="H33" s="107">
        <v>80254.34</v>
      </c>
      <c r="I33" s="250">
        <f t="shared" si="0"/>
        <v>16956338.450000003</v>
      </c>
      <c r="J33" s="254">
        <f t="shared" si="1"/>
        <v>2.0457963388226361E-3</v>
      </c>
    </row>
    <row r="34" spans="1:10" ht="12.75" customHeight="1">
      <c r="A34" s="248">
        <v>40</v>
      </c>
      <c r="B34" s="4" t="s">
        <v>19</v>
      </c>
      <c r="C34" s="5">
        <v>18763177.170000002</v>
      </c>
      <c r="D34" s="107">
        <v>2562520.16</v>
      </c>
      <c r="E34" s="107">
        <v>630066.18000000005</v>
      </c>
      <c r="F34" s="107">
        <v>1062133.8799999999</v>
      </c>
      <c r="G34" s="107">
        <v>522376.75</v>
      </c>
      <c r="H34" s="107">
        <v>111945.94</v>
      </c>
      <c r="I34" s="250">
        <f t="shared" si="0"/>
        <v>23652220.080000002</v>
      </c>
      <c r="J34" s="254">
        <f t="shared" si="1"/>
        <v>2.8536600273328019E-3</v>
      </c>
    </row>
    <row r="35" spans="1:10" ht="12.75" customHeight="1">
      <c r="A35" s="248">
        <v>41</v>
      </c>
      <c r="B35" s="4" t="s">
        <v>20</v>
      </c>
      <c r="C35" s="5">
        <v>17881547.870000001</v>
      </c>
      <c r="D35" s="107">
        <v>2442114.4900000002</v>
      </c>
      <c r="E35" s="107">
        <v>600461.13</v>
      </c>
      <c r="F35" s="107">
        <v>1012227.18</v>
      </c>
      <c r="G35" s="107">
        <v>497831.72</v>
      </c>
      <c r="H35" s="107">
        <v>106685.91</v>
      </c>
      <c r="I35" s="250">
        <f t="shared" si="0"/>
        <v>22540868.299999997</v>
      </c>
      <c r="J35" s="254">
        <f t="shared" si="1"/>
        <v>2.7195745106174856E-3</v>
      </c>
    </row>
    <row r="36" spans="1:10" ht="12.75" customHeight="1">
      <c r="A36" s="248">
        <v>42</v>
      </c>
      <c r="B36" s="4" t="s">
        <v>136</v>
      </c>
      <c r="C36" s="5">
        <v>165832851.94</v>
      </c>
      <c r="D36" s="107">
        <v>22648084.699999999</v>
      </c>
      <c r="E36" s="107">
        <v>5568655.6100000003</v>
      </c>
      <c r="F36" s="107">
        <v>9387359.5800000001</v>
      </c>
      <c r="G36" s="107">
        <v>4616874.03</v>
      </c>
      <c r="H36" s="107">
        <v>989401.41</v>
      </c>
      <c r="I36" s="250">
        <f t="shared" si="0"/>
        <v>209043227.27000001</v>
      </c>
      <c r="J36" s="254">
        <f t="shared" si="1"/>
        <v>2.5221239259035563E-2</v>
      </c>
    </row>
    <row r="37" spans="1:10" ht="12.75" customHeight="1">
      <c r="A37" s="248">
        <v>43</v>
      </c>
      <c r="B37" s="4" t="s">
        <v>21</v>
      </c>
      <c r="C37" s="5">
        <v>31970901.600000001</v>
      </c>
      <c r="D37" s="107">
        <v>4366322.3499999996</v>
      </c>
      <c r="E37" s="107">
        <v>1073580.6499999999</v>
      </c>
      <c r="F37" s="107">
        <v>1809788.26</v>
      </c>
      <c r="G37" s="107">
        <v>890086.76</v>
      </c>
      <c r="H37" s="107">
        <v>190746.62</v>
      </c>
      <c r="I37" s="250">
        <f t="shared" si="0"/>
        <v>40301426.239999995</v>
      </c>
      <c r="J37" s="254">
        <f t="shared" si="1"/>
        <v>4.862400599884375E-3</v>
      </c>
    </row>
    <row r="38" spans="1:10" ht="12.75" customHeight="1">
      <c r="A38" s="248">
        <v>44</v>
      </c>
      <c r="B38" s="4" t="s">
        <v>22</v>
      </c>
      <c r="C38" s="5">
        <v>117218348.14</v>
      </c>
      <c r="D38" s="107">
        <v>16008716.279999999</v>
      </c>
      <c r="E38" s="107">
        <v>3936183.96</v>
      </c>
      <c r="F38" s="107">
        <v>6635420.9699999997</v>
      </c>
      <c r="G38" s="107">
        <v>3263420.62</v>
      </c>
      <c r="H38" s="107">
        <v>699354.79</v>
      </c>
      <c r="I38" s="250">
        <f t="shared" si="0"/>
        <v>147761444.75999999</v>
      </c>
      <c r="J38" s="254">
        <f t="shared" si="1"/>
        <v>1.7827541223037521E-2</v>
      </c>
    </row>
    <row r="39" spans="1:10" ht="12.75" customHeight="1">
      <c r="A39" s="248">
        <v>46</v>
      </c>
      <c r="B39" s="4" t="s">
        <v>137</v>
      </c>
      <c r="C39" s="5">
        <v>25010439.550000001</v>
      </c>
      <c r="D39" s="107">
        <v>3415719.78</v>
      </c>
      <c r="E39" s="107">
        <v>839848.82</v>
      </c>
      <c r="F39" s="107">
        <v>1415774.9</v>
      </c>
      <c r="G39" s="107">
        <v>696303.82</v>
      </c>
      <c r="H39" s="107">
        <v>149218.71</v>
      </c>
      <c r="I39" s="250">
        <f t="shared" si="0"/>
        <v>31527305.580000002</v>
      </c>
      <c r="J39" s="254">
        <f t="shared" si="1"/>
        <v>3.8037956436583432E-3</v>
      </c>
    </row>
    <row r="40" spans="1:10" ht="12.75" customHeight="1">
      <c r="A40" s="248">
        <v>49</v>
      </c>
      <c r="B40" s="4" t="s">
        <v>23</v>
      </c>
      <c r="C40" s="5">
        <v>24040117.52</v>
      </c>
      <c r="D40" s="107">
        <v>3283201.2</v>
      </c>
      <c r="E40" s="107">
        <v>807265.47</v>
      </c>
      <c r="F40" s="107">
        <v>1360847.53</v>
      </c>
      <c r="G40" s="107">
        <v>669289.55000000005</v>
      </c>
      <c r="H40" s="107">
        <v>143429.51999999999</v>
      </c>
      <c r="I40" s="250">
        <f t="shared" si="0"/>
        <v>30304150.789999999</v>
      </c>
      <c r="J40" s="254">
        <f t="shared" si="1"/>
        <v>3.6562210007851717E-3</v>
      </c>
    </row>
    <row r="41" spans="1:10" ht="12.75" customHeight="1">
      <c r="A41" s="248">
        <v>48</v>
      </c>
      <c r="B41" s="4" t="s">
        <v>24</v>
      </c>
      <c r="C41" s="5">
        <v>25869692.379999999</v>
      </c>
      <c r="D41" s="107">
        <v>3533069.46</v>
      </c>
      <c r="E41" s="107">
        <v>868702.47</v>
      </c>
      <c r="F41" s="107">
        <v>1464414.93</v>
      </c>
      <c r="G41" s="107">
        <v>720225.88</v>
      </c>
      <c r="H41" s="107">
        <v>154345.23000000001</v>
      </c>
      <c r="I41" s="250">
        <f t="shared" si="0"/>
        <v>32610450.349999998</v>
      </c>
      <c r="J41" s="254">
        <f t="shared" si="1"/>
        <v>3.9344779611536563E-3</v>
      </c>
    </row>
    <row r="42" spans="1:10" ht="12.75" customHeight="1">
      <c r="A42" s="248">
        <v>47</v>
      </c>
      <c r="B42" s="4" t="s">
        <v>25</v>
      </c>
      <c r="C42" s="5">
        <v>35554214.07</v>
      </c>
      <c r="D42" s="107">
        <v>4855701.6399999997</v>
      </c>
      <c r="E42" s="107">
        <v>1193908.03</v>
      </c>
      <c r="F42" s="107">
        <v>2012630.12</v>
      </c>
      <c r="G42" s="107">
        <v>989848.07</v>
      </c>
      <c r="H42" s="107">
        <v>212125.58</v>
      </c>
      <c r="I42" s="250">
        <f t="shared" si="0"/>
        <v>44818427.509999998</v>
      </c>
      <c r="J42" s="254">
        <f t="shared" si="1"/>
        <v>5.4073805604974642E-3</v>
      </c>
    </row>
    <row r="43" spans="1:10" ht="12.75" customHeight="1">
      <c r="A43" s="248">
        <v>45</v>
      </c>
      <c r="B43" s="4" t="s">
        <v>26</v>
      </c>
      <c r="C43" s="5">
        <v>83413469.420000002</v>
      </c>
      <c r="D43" s="107">
        <v>11391924.449999999</v>
      </c>
      <c r="E43" s="107">
        <v>2801018.49</v>
      </c>
      <c r="F43" s="107">
        <v>4721816.1100000003</v>
      </c>
      <c r="G43" s="107">
        <v>2322274.9700000002</v>
      </c>
      <c r="H43" s="107">
        <v>497666.2</v>
      </c>
      <c r="I43" s="250">
        <f t="shared" si="0"/>
        <v>105148169.64</v>
      </c>
      <c r="J43" s="254">
        <f t="shared" si="1"/>
        <v>1.2686214132710557E-2</v>
      </c>
    </row>
    <row r="44" spans="1:10" ht="12.75" customHeight="1">
      <c r="A44" s="248">
        <v>70</v>
      </c>
      <c r="B44" s="4" t="s">
        <v>27</v>
      </c>
      <c r="C44" s="5">
        <v>1726259320.8499999</v>
      </c>
      <c r="D44" s="107">
        <v>235758276.21000001</v>
      </c>
      <c r="E44" s="107">
        <v>57967667.659999996</v>
      </c>
      <c r="F44" s="107">
        <v>97718978.969999999</v>
      </c>
      <c r="G44" s="107">
        <v>48059969.659999996</v>
      </c>
      <c r="H44" s="107">
        <v>10299306.74</v>
      </c>
      <c r="I44" s="250">
        <f t="shared" si="0"/>
        <v>2176063520.0899997</v>
      </c>
      <c r="J44" s="254">
        <f t="shared" si="1"/>
        <v>0.26254387381879718</v>
      </c>
    </row>
    <row r="45" spans="1:10" ht="12.75" customHeight="1">
      <c r="A45" s="248">
        <v>50</v>
      </c>
      <c r="B45" s="4" t="s">
        <v>138</v>
      </c>
      <c r="C45" s="5">
        <v>9169501.2799999993</v>
      </c>
      <c r="D45" s="107">
        <v>1252294.94</v>
      </c>
      <c r="E45" s="107">
        <v>307911.21000000002</v>
      </c>
      <c r="F45" s="107">
        <v>519061.24</v>
      </c>
      <c r="G45" s="107">
        <v>255283.75</v>
      </c>
      <c r="H45" s="107">
        <v>54707.6</v>
      </c>
      <c r="I45" s="250">
        <f t="shared" si="0"/>
        <v>11558760.02</v>
      </c>
      <c r="J45" s="254">
        <f t="shared" si="1"/>
        <v>1.3945740113630166E-3</v>
      </c>
    </row>
    <row r="46" spans="1:10" ht="12.75" customHeight="1">
      <c r="A46" s="248">
        <v>51</v>
      </c>
      <c r="B46" s="4" t="s">
        <v>139</v>
      </c>
      <c r="C46" s="5">
        <v>38260390.350000001</v>
      </c>
      <c r="D46" s="107">
        <v>5225288.9000000004</v>
      </c>
      <c r="E46" s="107">
        <v>1284781.24</v>
      </c>
      <c r="F46" s="107">
        <v>2165819.6</v>
      </c>
      <c r="G46" s="107">
        <v>1065189.44</v>
      </c>
      <c r="H46" s="107">
        <v>228271.32</v>
      </c>
      <c r="I46" s="250">
        <f t="shared" si="0"/>
        <v>48229740.850000001</v>
      </c>
      <c r="J46" s="254">
        <f t="shared" si="1"/>
        <v>5.8189583526091111E-3</v>
      </c>
    </row>
    <row r="47" spans="1:10" ht="12.75" customHeight="1">
      <c r="A47" s="248">
        <v>52</v>
      </c>
      <c r="B47" s="4" t="s">
        <v>140</v>
      </c>
      <c r="C47" s="5">
        <v>18909383.170000002</v>
      </c>
      <c r="D47" s="107">
        <v>2582487.77</v>
      </c>
      <c r="E47" s="107">
        <v>634975.77</v>
      </c>
      <c r="F47" s="107">
        <v>1070410.22</v>
      </c>
      <c r="G47" s="107">
        <v>526447.19999999995</v>
      </c>
      <c r="H47" s="107">
        <v>112818.24000000001</v>
      </c>
      <c r="I47" s="250">
        <f t="shared" si="0"/>
        <v>23836522.369999997</v>
      </c>
      <c r="J47" s="254">
        <f t="shared" si="1"/>
        <v>2.8758962519299003E-3</v>
      </c>
    </row>
    <row r="48" spans="1:10" ht="12.75" customHeight="1">
      <c r="A48" s="248">
        <v>53</v>
      </c>
      <c r="B48" s="4" t="s">
        <v>28</v>
      </c>
      <c r="C48" s="5">
        <v>21189369.57</v>
      </c>
      <c r="D48" s="107">
        <v>2893869.53</v>
      </c>
      <c r="E48" s="107">
        <v>711537.55</v>
      </c>
      <c r="F48" s="107">
        <v>1199474.22</v>
      </c>
      <c r="G48" s="107">
        <v>589923.22</v>
      </c>
      <c r="H48" s="107">
        <v>126421.22</v>
      </c>
      <c r="I48" s="250">
        <f t="shared" si="0"/>
        <v>26710595.309999999</v>
      </c>
      <c r="J48" s="254">
        <f t="shared" si="1"/>
        <v>3.2226555428876255E-3</v>
      </c>
    </row>
    <row r="49" spans="1:10" ht="12.75" customHeight="1">
      <c r="A49" s="248">
        <v>54</v>
      </c>
      <c r="B49" s="4" t="s">
        <v>29</v>
      </c>
      <c r="C49" s="5">
        <v>60965138.740000002</v>
      </c>
      <c r="D49" s="107">
        <v>8326116.3899999997</v>
      </c>
      <c r="E49" s="107">
        <v>2047205.11</v>
      </c>
      <c r="F49" s="107">
        <v>3451075.42</v>
      </c>
      <c r="G49" s="107">
        <v>1697301.61</v>
      </c>
      <c r="H49" s="107">
        <v>363733.69</v>
      </c>
      <c r="I49" s="250">
        <f t="shared" si="0"/>
        <v>76850570.959999993</v>
      </c>
      <c r="J49" s="254">
        <f t="shared" si="1"/>
        <v>9.2720853131117564E-3</v>
      </c>
    </row>
    <row r="50" spans="1:10" ht="12.75" customHeight="1">
      <c r="A50" s="248">
        <v>55</v>
      </c>
      <c r="B50" s="4" t="s">
        <v>30</v>
      </c>
      <c r="C50" s="5">
        <v>52786864.539999999</v>
      </c>
      <c r="D50" s="107">
        <v>7209195.0700000003</v>
      </c>
      <c r="E50" s="107">
        <v>1772579.23</v>
      </c>
      <c r="F50" s="107">
        <v>2988124.93</v>
      </c>
      <c r="G50" s="107">
        <v>1469614.14</v>
      </c>
      <c r="H50" s="107">
        <v>314940</v>
      </c>
      <c r="I50" s="250">
        <f t="shared" si="0"/>
        <v>66541317.909999996</v>
      </c>
      <c r="J50" s="254">
        <f t="shared" si="1"/>
        <v>8.0282653570595067E-3</v>
      </c>
    </row>
    <row r="51" spans="1:10" ht="12.75" customHeight="1">
      <c r="A51" s="248">
        <v>58</v>
      </c>
      <c r="B51" s="4" t="s">
        <v>141</v>
      </c>
      <c r="C51" s="5">
        <v>474720406.57999998</v>
      </c>
      <c r="D51" s="107">
        <v>64833402.130000003</v>
      </c>
      <c r="E51" s="107">
        <v>15941078.16</v>
      </c>
      <c r="F51" s="107">
        <v>26872667.890000001</v>
      </c>
      <c r="G51" s="107">
        <v>13216466.42</v>
      </c>
      <c r="H51" s="107">
        <v>2832303.94</v>
      </c>
      <c r="I51" s="250">
        <f t="shared" si="0"/>
        <v>598416325.12</v>
      </c>
      <c r="J51" s="254">
        <f t="shared" si="1"/>
        <v>7.2199427407760433E-2</v>
      </c>
    </row>
    <row r="52" spans="1:10" ht="12.75" customHeight="1">
      <c r="A52" s="248">
        <v>31</v>
      </c>
      <c r="B52" s="4" t="s">
        <v>142</v>
      </c>
      <c r="C52" s="5">
        <v>917280808.95000005</v>
      </c>
      <c r="D52" s="107">
        <v>125274655.84</v>
      </c>
      <c r="E52" s="107">
        <v>30802225.620000001</v>
      </c>
      <c r="F52" s="107">
        <v>51924842.920000002</v>
      </c>
      <c r="G52" s="107">
        <v>25537581.359999999</v>
      </c>
      <c r="H52" s="107">
        <v>5472733.04</v>
      </c>
      <c r="I52" s="250">
        <f t="shared" si="0"/>
        <v>1156292847.73</v>
      </c>
      <c r="J52" s="254">
        <f t="shared" si="1"/>
        <v>0.13950769392037193</v>
      </c>
    </row>
    <row r="53" spans="1:10" ht="12.75" customHeight="1">
      <c r="A53" s="248">
        <v>57</v>
      </c>
      <c r="B53" s="4" t="s">
        <v>31</v>
      </c>
      <c r="C53" s="5">
        <v>247174909.66</v>
      </c>
      <c r="D53" s="107">
        <v>33757112.799999997</v>
      </c>
      <c r="E53" s="107">
        <v>8300116.2400000002</v>
      </c>
      <c r="F53" s="107">
        <v>13991918.539999999</v>
      </c>
      <c r="G53" s="107">
        <v>6881479.8099999996</v>
      </c>
      <c r="H53" s="107">
        <v>1474709.03</v>
      </c>
      <c r="I53" s="250">
        <f t="shared" si="0"/>
        <v>311580246.07999998</v>
      </c>
      <c r="J53" s="254">
        <f t="shared" si="1"/>
        <v>3.7592415872066999E-2</v>
      </c>
    </row>
    <row r="54" spans="1:10" ht="12.75" customHeight="1">
      <c r="A54" s="248">
        <v>56</v>
      </c>
      <c r="B54" s="4" t="s">
        <v>32</v>
      </c>
      <c r="C54" s="5">
        <v>79956792.879999995</v>
      </c>
      <c r="D54" s="107">
        <v>10919840.050000001</v>
      </c>
      <c r="E54" s="107">
        <v>2684943.53</v>
      </c>
      <c r="F54" s="107">
        <v>4526142.78</v>
      </c>
      <c r="G54" s="107">
        <v>2226039.27</v>
      </c>
      <c r="H54" s="107">
        <v>477042.77</v>
      </c>
      <c r="I54" s="250">
        <f t="shared" si="0"/>
        <v>100790801.27999999</v>
      </c>
      <c r="J54" s="254">
        <f t="shared" si="1"/>
        <v>1.216049401547678E-2</v>
      </c>
    </row>
    <row r="55" spans="1:10" ht="12.75" customHeight="1">
      <c r="A55" s="248">
        <v>59</v>
      </c>
      <c r="B55" s="4" t="s">
        <v>33</v>
      </c>
      <c r="C55" s="5">
        <v>16102991.52</v>
      </c>
      <c r="D55" s="107">
        <v>2199213.92</v>
      </c>
      <c r="E55" s="107">
        <v>540737.32999999996</v>
      </c>
      <c r="F55" s="107">
        <v>911547.8</v>
      </c>
      <c r="G55" s="107">
        <v>448315.77</v>
      </c>
      <c r="H55" s="107">
        <v>96074.59</v>
      </c>
      <c r="I55" s="250">
        <f t="shared" si="0"/>
        <v>20298880.929999996</v>
      </c>
      <c r="J55" s="254">
        <f t="shared" si="1"/>
        <v>2.4490768694694588E-3</v>
      </c>
    </row>
    <row r="56" spans="1:10" ht="12.75" customHeight="1">
      <c r="A56" s="248">
        <v>60</v>
      </c>
      <c r="B56" s="4" t="s">
        <v>34</v>
      </c>
      <c r="C56" s="5">
        <v>21809438.43</v>
      </c>
      <c r="D56" s="107">
        <v>2978553.42</v>
      </c>
      <c r="E56" s="107">
        <v>732359.42</v>
      </c>
      <c r="F56" s="107">
        <v>1234574.68</v>
      </c>
      <c r="G56" s="107">
        <v>607186.26</v>
      </c>
      <c r="H56" s="107">
        <v>130120.71</v>
      </c>
      <c r="I56" s="250">
        <f t="shared" si="0"/>
        <v>27492232.920000006</v>
      </c>
      <c r="J56" s="254">
        <f t="shared" si="1"/>
        <v>3.3169607707255427E-3</v>
      </c>
    </row>
    <row r="57" spans="1:10" s="101" customFormat="1" ht="16.5" customHeight="1" thickBot="1">
      <c r="B57" s="6" t="s">
        <v>35</v>
      </c>
      <c r="C57" s="7">
        <f>SUM(C6:C56)</f>
        <v>6575127028.2700005</v>
      </c>
      <c r="D57" s="7">
        <f t="shared" ref="D57:I57" si="2">SUM(D6:D56)</f>
        <v>897976680.14999986</v>
      </c>
      <c r="E57" s="7">
        <f t="shared" si="2"/>
        <v>220792307.28000006</v>
      </c>
      <c r="F57" s="7">
        <f t="shared" si="2"/>
        <v>372200568.00000006</v>
      </c>
      <c r="G57" s="7">
        <f t="shared" si="2"/>
        <v>183055003.20999998</v>
      </c>
      <c r="H57" s="7">
        <f t="shared" si="2"/>
        <v>39228897.610000014</v>
      </c>
      <c r="I57" s="251">
        <f t="shared" si="2"/>
        <v>8288380484.5199995</v>
      </c>
      <c r="J57" s="255">
        <f t="shared" ref="J57" si="3">SUM(J6:J56)</f>
        <v>0.99999999999999989</v>
      </c>
    </row>
    <row r="58" spans="1:10" ht="13.5" thickTop="1"/>
    <row r="59" spans="1:10">
      <c r="B59" s="168"/>
      <c r="C59" s="62"/>
      <c r="D59" s="62"/>
      <c r="E59" s="62"/>
      <c r="F59" s="62"/>
      <c r="G59" s="62"/>
      <c r="H59" s="62"/>
      <c r="I59" s="62"/>
    </row>
    <row r="60" spans="1:10">
      <c r="B60" s="168"/>
      <c r="C60" s="62"/>
      <c r="D60" s="62"/>
      <c r="E60" s="62"/>
      <c r="F60" s="62"/>
      <c r="G60" s="62"/>
      <c r="H60" s="62"/>
      <c r="I60" s="62"/>
    </row>
  </sheetData>
  <mergeCells count="3">
    <mergeCell ref="B1:I1"/>
    <mergeCell ref="B3:B4"/>
    <mergeCell ref="C3:J3"/>
  </mergeCells>
  <printOptions horizontalCentered="1" verticalCentered="1"/>
  <pageMargins left="0.15748031496062992" right="0.15748031496062992" top="0.39370078740157483" bottom="0.19685039370078741" header="0.11811023622047245" footer="0.15748031496062992"/>
  <pageSetup scale="84" orientation="portrait" horizontalDpi="300" verticalDpi="300" r:id="rId1"/>
  <headerFooter alignWithMargins="0"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F6F1-9CA9-495C-973C-A2D448AE08EB}">
  <dimension ref="A1:H64"/>
  <sheetViews>
    <sheetView showGridLines="0" workbookViewId="0"/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3.28515625" style="11" bestFit="1" customWidth="1"/>
    <col min="4" max="8" width="11.7109375" style="11" customWidth="1"/>
    <col min="9" max="9" width="5.42578125" style="11" customWidth="1"/>
    <col min="10" max="16384" width="9.7109375" style="11"/>
  </cols>
  <sheetData>
    <row r="1" spans="1:8" ht="47.25" customHeight="1">
      <c r="B1" s="296" t="s">
        <v>205</v>
      </c>
      <c r="C1" s="302"/>
      <c r="D1" s="302"/>
      <c r="E1" s="302"/>
      <c r="F1" s="302"/>
      <c r="G1" s="302"/>
      <c r="H1" s="302"/>
    </row>
    <row r="2" spans="1:8" ht="8.25" customHeight="1" thickBot="1"/>
    <row r="3" spans="1:8" ht="13.5" thickBot="1">
      <c r="B3" s="297" t="s">
        <v>0</v>
      </c>
      <c r="C3" s="299" t="s">
        <v>198</v>
      </c>
      <c r="D3" s="300"/>
      <c r="E3" s="300"/>
      <c r="F3" s="300"/>
      <c r="G3" s="300"/>
      <c r="H3" s="301"/>
    </row>
    <row r="4" spans="1:8" ht="13.5" thickBot="1">
      <c r="B4" s="298"/>
      <c r="C4" s="209" t="s">
        <v>78</v>
      </c>
      <c r="D4" s="8" t="s">
        <v>145</v>
      </c>
      <c r="E4" s="8" t="s">
        <v>79</v>
      </c>
      <c r="F4" s="8" t="s">
        <v>89</v>
      </c>
      <c r="G4" s="8" t="s">
        <v>99</v>
      </c>
      <c r="H4" s="8" t="s">
        <v>100</v>
      </c>
    </row>
    <row r="5" spans="1:8" ht="15.75" thickBot="1">
      <c r="B5" s="1"/>
      <c r="C5" s="100"/>
      <c r="D5" s="100"/>
      <c r="E5" s="100"/>
      <c r="F5" s="100"/>
      <c r="G5" s="100"/>
      <c r="H5" s="100"/>
    </row>
    <row r="6" spans="1:8" ht="12.75" customHeight="1" thickTop="1">
      <c r="A6" s="248">
        <v>15</v>
      </c>
      <c r="B6" s="2" t="s">
        <v>1</v>
      </c>
      <c r="C6" s="3">
        <f>IF('PART 2023'!G$4&lt;1,0,'COEF Art 14 F I'!$AF7*'PART 2023'!$G$4)</f>
        <v>1646752.2798179693</v>
      </c>
      <c r="D6" s="3">
        <f>IF('PART 2023'!G$5&lt;1,0,'COEF Art 14 F I'!$AF7*'PART 2023'!$G$5)</f>
        <v>323960.70929844753</v>
      </c>
      <c r="E6" s="3">
        <f>IF('PART 2023'!G$6&lt;1,0,'COEF Art 14 F I'!$AF7*'PART 2023'!$G$6)</f>
        <v>38247.032424670077</v>
      </c>
      <c r="F6" s="3">
        <f>IF('PART 2023'!G$7&lt;1,0,'COEF Art 14 F I'!$AF7*'PART 2023'!$G$7)</f>
        <v>78941.709715236822</v>
      </c>
      <c r="G6" s="3">
        <f>IF('PART 2023'!G$8&lt;1,0,'COEF Art 14 F I'!$AF7*'PART 2023'!$G$8)</f>
        <v>144986.75025185337</v>
      </c>
      <c r="H6" s="256">
        <f>IF('PART 2023'!G$9&lt;1,0,'COEF Art 14 F I'!$AF7*'PART 2023'!$G$9)</f>
        <v>3989.4468150173116</v>
      </c>
    </row>
    <row r="7" spans="1:8" ht="12.75" customHeight="1">
      <c r="A7" s="248">
        <v>11</v>
      </c>
      <c r="B7" s="4" t="s">
        <v>2</v>
      </c>
      <c r="C7" s="5">
        <f>IF('PART 2023'!G$4&lt;1,0,'COEF Art 14 F I'!$AF8*'PART 2023'!$G$4)</f>
        <v>2889026.1047208239</v>
      </c>
      <c r="D7" s="5">
        <f>IF('PART 2023'!G$5&lt;1,0,'COEF Art 14 F I'!$AF8*'PART 2023'!$G$5)</f>
        <v>568349.56753212819</v>
      </c>
      <c r="E7" s="5">
        <f>IF('PART 2023'!G$6&lt;1,0,'COEF Art 14 F I'!$AF8*'PART 2023'!$G$6)</f>
        <v>67099.755353118351</v>
      </c>
      <c r="F7" s="5">
        <f>IF('PART 2023'!G$7&lt;1,0,'COEF Art 14 F I'!$AF8*'PART 2023'!$G$7)</f>
        <v>138493.60520929276</v>
      </c>
      <c r="G7" s="5">
        <f>IF('PART 2023'!G$8&lt;1,0,'COEF Art 14 F I'!$AF8*'PART 2023'!$G$8)</f>
        <v>254361.57669236354</v>
      </c>
      <c r="H7" s="257">
        <f>IF('PART 2023'!G$9&lt;1,0,'COEF Art 14 F I'!$AF8*'PART 2023'!$G$9)</f>
        <v>6998.998047996869</v>
      </c>
    </row>
    <row r="8" spans="1:8" ht="12.75" customHeight="1">
      <c r="A8" s="248">
        <v>12</v>
      </c>
      <c r="B8" s="4" t="s">
        <v>143</v>
      </c>
      <c r="C8" s="5">
        <f>IF('PART 2023'!G$4&lt;1,0,'COEF Art 14 F I'!$AF9*'PART 2023'!$G$4)</f>
        <v>3698983.079651094</v>
      </c>
      <c r="D8" s="5">
        <f>IF('PART 2023'!G$5&lt;1,0,'COEF Art 14 F I'!$AF9*'PART 2023'!$G$5)</f>
        <v>727690.00951326219</v>
      </c>
      <c r="E8" s="5">
        <f>IF('PART 2023'!G$6&lt;1,0,'COEF Art 14 F I'!$AF9*'PART 2023'!$G$6)</f>
        <v>85911.601592778679</v>
      </c>
      <c r="F8" s="5">
        <f>IF('PART 2023'!G$7&lt;1,0,'COEF Art 14 F I'!$AF9*'PART 2023'!$G$7)</f>
        <v>177321.17458957902</v>
      </c>
      <c r="G8" s="5">
        <f>IF('PART 2023'!G$8&lt;1,0,'COEF Art 14 F I'!$AF9*'PART 2023'!$G$8)</f>
        <v>325673.47410290956</v>
      </c>
      <c r="H8" s="257">
        <f>IF('PART 2023'!G$9&lt;1,0,'COEF Art 14 F I'!$AF9*'PART 2023'!$G$9)</f>
        <v>8961.2119848093971</v>
      </c>
    </row>
    <row r="9" spans="1:8" ht="12.75" customHeight="1">
      <c r="A9" s="248">
        <v>13</v>
      </c>
      <c r="B9" s="4" t="s">
        <v>3</v>
      </c>
      <c r="C9" s="5">
        <f>IF('PART 2023'!G$4&lt;1,0,'COEF Art 14 F I'!$AF10*'PART 2023'!$G$4)</f>
        <v>12346213.430443371</v>
      </c>
      <c r="D9" s="5">
        <f>IF('PART 2023'!G$5&lt;1,0,'COEF Art 14 F I'!$AF10*'PART 2023'!$G$5)</f>
        <v>2428834.0809332756</v>
      </c>
      <c r="E9" s="5">
        <f>IF('PART 2023'!G$6&lt;1,0,'COEF Art 14 F I'!$AF10*'PART 2023'!$G$6)</f>
        <v>286749.88411023305</v>
      </c>
      <c r="F9" s="5">
        <f>IF('PART 2023'!G$7&lt;1,0,'COEF Art 14 F I'!$AF10*'PART 2023'!$G$7)</f>
        <v>591850.52217820752</v>
      </c>
      <c r="G9" s="5">
        <f>IF('PART 2023'!G$8&lt;1,0,'COEF Art 14 F I'!$AF10*'PART 2023'!$G$8)</f>
        <v>1087010.7089778192</v>
      </c>
      <c r="H9" s="257">
        <f>IF('PART 2023'!G$9&lt;1,0,'COEF Art 14 F I'!$AF10*'PART 2023'!$G$9)</f>
        <v>29910.122154530021</v>
      </c>
    </row>
    <row r="10" spans="1:8" ht="12.75" customHeight="1">
      <c r="A10" s="248">
        <v>14</v>
      </c>
      <c r="B10" s="4" t="s">
        <v>144</v>
      </c>
      <c r="C10" s="5">
        <f>IF('PART 2023'!G$4&lt;1,0,'COEF Art 14 F I'!$AF11*'PART 2023'!$G$4)</f>
        <v>11901571.965407547</v>
      </c>
      <c r="D10" s="5">
        <f>IF('PART 2023'!G$5&lt;1,0,'COEF Art 14 F I'!$AF11*'PART 2023'!$G$5)</f>
        <v>2341361.0795827452</v>
      </c>
      <c r="E10" s="5">
        <f>IF('PART 2023'!G$6&lt;1,0,'COEF Art 14 F I'!$AF11*'PART 2023'!$G$6)</f>
        <v>276422.75917529274</v>
      </c>
      <c r="F10" s="5">
        <f>IF('PART 2023'!G$7&lt;1,0,'COEF Art 14 F I'!$AF11*'PART 2023'!$G$7)</f>
        <v>570535.38092083775</v>
      </c>
      <c r="G10" s="5">
        <f>IF('PART 2023'!G$8&lt;1,0,'COEF Art 14 F I'!$AF11*'PART 2023'!$G$8)</f>
        <v>1047862.6708467329</v>
      </c>
      <c r="H10" s="257">
        <f>IF('PART 2023'!G$9&lt;1,0,'COEF Art 14 F I'!$AF11*'PART 2023'!$G$9)</f>
        <v>28832.927060737358</v>
      </c>
    </row>
    <row r="11" spans="1:8" ht="12.75" customHeight="1">
      <c r="A11" s="248">
        <v>17</v>
      </c>
      <c r="B11" s="4" t="s">
        <v>4</v>
      </c>
      <c r="C11" s="5">
        <f>IF('PART 2023'!G$4&lt;1,0,'COEF Art 14 F I'!$AF12*'PART 2023'!$G$4)</f>
        <v>185058702.56426269</v>
      </c>
      <c r="D11" s="5">
        <f>IF('PART 2023'!G$5&lt;1,0,'COEF Art 14 F I'!$AF12*'PART 2023'!$G$5)</f>
        <v>36406051.644389398</v>
      </c>
      <c r="E11" s="5">
        <f>IF('PART 2023'!G$6&lt;1,0,'COEF Art 14 F I'!$AF12*'PART 2023'!$G$6)</f>
        <v>4298124.425991456</v>
      </c>
      <c r="F11" s="5">
        <f>IF('PART 2023'!G$7&lt;1,0,'COEF Art 14 F I'!$AF12*'PART 2023'!$G$7)</f>
        <v>8871310.2493601702</v>
      </c>
      <c r="G11" s="5">
        <f>IF('PART 2023'!G$8&lt;1,0,'COEF Art 14 F I'!$AF12*'PART 2023'!$G$8)</f>
        <v>16293318.80662868</v>
      </c>
      <c r="H11" s="257">
        <f>IF('PART 2023'!G$9&lt;1,0,'COEF Art 14 F I'!$AF12*'PART 2023'!$G$9)</f>
        <v>448325.99328044831</v>
      </c>
    </row>
    <row r="12" spans="1:8" ht="12.75" customHeight="1">
      <c r="A12" s="248">
        <v>16</v>
      </c>
      <c r="B12" s="4" t="s">
        <v>5</v>
      </c>
      <c r="C12" s="5">
        <f>IF('PART 2023'!G$4&lt;1,0,'COEF Art 14 F I'!$AF13*'PART 2023'!$G$4)</f>
        <v>10784253.287722338</v>
      </c>
      <c r="D12" s="5">
        <f>IF('PART 2023'!G$5&lt;1,0,'COEF Art 14 F I'!$AF13*'PART 2023'!$G$5)</f>
        <v>2121554.2781764548</v>
      </c>
      <c r="E12" s="5">
        <f>IF('PART 2023'!G$6&lt;1,0,'COEF Art 14 F I'!$AF13*'PART 2023'!$G$6)</f>
        <v>250472.2114105497</v>
      </c>
      <c r="F12" s="5">
        <f>IF('PART 2023'!G$7&lt;1,0,'COEF Art 14 F I'!$AF13*'PART 2023'!$G$7)</f>
        <v>516973.56242863083</v>
      </c>
      <c r="G12" s="5">
        <f>IF('PART 2023'!G$8&lt;1,0,'COEF Art 14 F I'!$AF13*'PART 2023'!$G$8)</f>
        <v>949489.40240882104</v>
      </c>
      <c r="H12" s="257">
        <f>IF('PART 2023'!G$9&lt;1,0,'COEF Art 14 F I'!$AF13*'PART 2023'!$G$9)</f>
        <v>26126.094044818692</v>
      </c>
    </row>
    <row r="13" spans="1:8" ht="12.75" customHeight="1">
      <c r="A13" s="248">
        <v>18</v>
      </c>
      <c r="B13" s="4" t="s">
        <v>6</v>
      </c>
      <c r="C13" s="5">
        <f>IF('PART 2023'!G$4&lt;1,0,'COEF Art 14 F I'!$AF14*'PART 2023'!$G$4)</f>
        <v>3903351.8335395926</v>
      </c>
      <c r="D13" s="5">
        <f>IF('PART 2023'!G$5&lt;1,0,'COEF Art 14 F I'!$AF14*'PART 2023'!$G$5)</f>
        <v>767894.87048693362</v>
      </c>
      <c r="E13" s="5">
        <f>IF('PART 2023'!G$6&lt;1,0,'COEF Art 14 F I'!$AF14*'PART 2023'!$G$6)</f>
        <v>90658.216157919494</v>
      </c>
      <c r="F13" s="5">
        <f>IF('PART 2023'!G$7&lt;1,0,'COEF Art 14 F I'!$AF14*'PART 2023'!$G$7)</f>
        <v>187118.16654887595</v>
      </c>
      <c r="G13" s="5">
        <f>IF('PART 2023'!G$8&lt;1,0,'COEF Art 14 F I'!$AF14*'PART 2023'!$G$8)</f>
        <v>343666.92815332056</v>
      </c>
      <c r="H13" s="257">
        <f>IF('PART 2023'!G$9&lt;1,0,'COEF Art 14 F I'!$AF14*'PART 2023'!$G$9)</f>
        <v>9456.3187985553304</v>
      </c>
    </row>
    <row r="14" spans="1:8" ht="12.75" customHeight="1">
      <c r="A14" s="248">
        <v>19</v>
      </c>
      <c r="B14" s="4" t="s">
        <v>128</v>
      </c>
      <c r="C14" s="5">
        <f>IF('PART 2023'!G$4&lt;1,0,'COEF Art 14 F I'!$AF15*'PART 2023'!$G$4)</f>
        <v>28932369.677157827</v>
      </c>
      <c r="D14" s="5">
        <f>IF('PART 2023'!G$5&lt;1,0,'COEF Art 14 F I'!$AF15*'PART 2023'!$G$5)</f>
        <v>5691779.5816460168</v>
      </c>
      <c r="E14" s="5">
        <f>IF('PART 2023'!G$6&lt;1,0,'COEF Art 14 F I'!$AF15*'PART 2023'!$G$6)</f>
        <v>671975.55742088717</v>
      </c>
      <c r="F14" s="5">
        <f>IF('PART 2023'!G$7&lt;1,0,'COEF Art 14 F I'!$AF15*'PART 2023'!$G$7)</f>
        <v>1386954.6478967569</v>
      </c>
      <c r="G14" s="5">
        <f>IF('PART 2023'!G$8&lt;1,0,'COEF Art 14 F I'!$AF15*'PART 2023'!$G$8)</f>
        <v>2547323.1815049127</v>
      </c>
      <c r="H14" s="257">
        <f>IF('PART 2023'!G$9&lt;1,0,'COEF Art 14 F I'!$AF15*'PART 2023'!$G$9)</f>
        <v>70091.993479553363</v>
      </c>
    </row>
    <row r="15" spans="1:8" ht="12.75" customHeight="1">
      <c r="A15" s="248">
        <v>20</v>
      </c>
      <c r="B15" s="4" t="s">
        <v>129</v>
      </c>
      <c r="C15" s="5">
        <f>IF('PART 2023'!G$4&lt;1,0,'COEF Art 14 F I'!$AF16*'PART 2023'!$G$4)</f>
        <v>22921421.704178456</v>
      </c>
      <c r="D15" s="5">
        <f>IF('PART 2023'!G$5&lt;1,0,'COEF Art 14 F I'!$AF16*'PART 2023'!$G$5)</f>
        <v>4509263.5513067618</v>
      </c>
      <c r="E15" s="5">
        <f>IF('PART 2023'!G$6&lt;1,0,'COEF Art 14 F I'!$AF16*'PART 2023'!$G$6)</f>
        <v>532366.87137676647</v>
      </c>
      <c r="F15" s="5">
        <f>IF('PART 2023'!G$7&lt;1,0,'COEF Art 14 F I'!$AF16*'PART 2023'!$G$7)</f>
        <v>1098802.922945885</v>
      </c>
      <c r="G15" s="5">
        <f>IF('PART 2023'!G$8&lt;1,0,'COEF Art 14 F I'!$AF16*'PART 2023'!$G$8)</f>
        <v>2018094.9404293452</v>
      </c>
      <c r="H15" s="257">
        <f>IF('PART 2023'!G$9&lt;1,0,'COEF Art 14 F I'!$AF16*'PART 2023'!$G$9)</f>
        <v>55529.780607628214</v>
      </c>
    </row>
    <row r="16" spans="1:8" ht="12.75" customHeight="1">
      <c r="A16" s="248">
        <v>23</v>
      </c>
      <c r="B16" s="4" t="s">
        <v>130</v>
      </c>
      <c r="C16" s="5">
        <f>IF('PART 2023'!G$4&lt;1,0,'COEF Art 14 F I'!$AF17*'PART 2023'!$G$4)</f>
        <v>8207179.0108789876</v>
      </c>
      <c r="D16" s="5">
        <f>IF('PART 2023'!G$5&lt;1,0,'COEF Art 14 F I'!$AF17*'PART 2023'!$G$5)</f>
        <v>1614574.0718194663</v>
      </c>
      <c r="E16" s="5">
        <f>IF('PART 2023'!G$6&lt;1,0,'COEF Art 14 F I'!$AF17*'PART 2023'!$G$6)</f>
        <v>190617.76661323864</v>
      </c>
      <c r="F16" s="5">
        <f>IF('PART 2023'!G$7&lt;1,0,'COEF Art 14 F I'!$AF17*'PART 2023'!$G$7)</f>
        <v>393434.24691017315</v>
      </c>
      <c r="G16" s="5">
        <f>IF('PART 2023'!G$8&lt;1,0,'COEF Art 14 F I'!$AF17*'PART 2023'!$G$8)</f>
        <v>722593.32997802133</v>
      </c>
      <c r="H16" s="257">
        <f>IF('PART 2023'!G$9&lt;1,0,'COEF Art 14 F I'!$AF17*'PART 2023'!$G$9)</f>
        <v>19882.835182014987</v>
      </c>
    </row>
    <row r="17" spans="1:8" ht="12.75" customHeight="1">
      <c r="A17" s="248">
        <v>21</v>
      </c>
      <c r="B17" s="4" t="s">
        <v>7</v>
      </c>
      <c r="C17" s="5">
        <f>IF('PART 2023'!G$4&lt;1,0,'COEF Art 14 F I'!$AF18*'PART 2023'!$G$4)</f>
        <v>10538660.83790227</v>
      </c>
      <c r="D17" s="5">
        <f>IF('PART 2023'!G$5&lt;1,0,'COEF Art 14 F I'!$AF18*'PART 2023'!$G$5)</f>
        <v>2073239.601332135</v>
      </c>
      <c r="E17" s="5">
        <f>IF('PART 2023'!G$6&lt;1,0,'COEF Art 14 F I'!$AF18*'PART 2023'!$G$6)</f>
        <v>244768.14619889529</v>
      </c>
      <c r="F17" s="5">
        <f>IF('PART 2023'!G$7&lt;1,0,'COEF Art 14 F I'!$AF18*'PART 2023'!$G$7)</f>
        <v>505200.39647066861</v>
      </c>
      <c r="G17" s="5">
        <f>IF('PART 2023'!G$8&lt;1,0,'COEF Art 14 F I'!$AF18*'PART 2023'!$G$8)</f>
        <v>927866.4469575379</v>
      </c>
      <c r="H17" s="257">
        <f>IF('PART 2023'!G$9&lt;1,0,'COEF Art 14 F I'!$AF18*'PART 2023'!$G$9)</f>
        <v>25531.118085935996</v>
      </c>
    </row>
    <row r="18" spans="1:8" ht="12.75" customHeight="1">
      <c r="A18" s="248">
        <v>22</v>
      </c>
      <c r="B18" s="4" t="s">
        <v>131</v>
      </c>
      <c r="C18" s="5">
        <f>IF('PART 2023'!G$4&lt;1,0,'COEF Art 14 F I'!$AF19*'PART 2023'!$G$4)</f>
        <v>15943363.257328719</v>
      </c>
      <c r="D18" s="5">
        <f>IF('PART 2023'!G$5&lt;1,0,'COEF Art 14 F I'!$AF19*'PART 2023'!$G$5)</f>
        <v>3136490.7355816481</v>
      </c>
      <c r="E18" s="5">
        <f>IF('PART 2023'!G$6&lt;1,0,'COEF Art 14 F I'!$AF19*'PART 2023'!$G$6)</f>
        <v>370296.33353764075</v>
      </c>
      <c r="F18" s="5">
        <f>IF('PART 2023'!G$7&lt;1,0,'COEF Art 14 F I'!$AF19*'PART 2023'!$G$7)</f>
        <v>764290.0329148114</v>
      </c>
      <c r="G18" s="5">
        <f>IF('PART 2023'!G$8&lt;1,0,'COEF Art 14 F I'!$AF19*'PART 2023'!$G$8)</f>
        <v>1403718.3704524245</v>
      </c>
      <c r="H18" s="257">
        <f>IF('PART 2023'!G$9&lt;1,0,'COEF Art 14 F I'!$AF19*'PART 2023'!$G$9)</f>
        <v>38624.631371176823</v>
      </c>
    </row>
    <row r="19" spans="1:8" ht="12.75" customHeight="1">
      <c r="A19" s="248">
        <v>25</v>
      </c>
      <c r="B19" s="4" t="s">
        <v>8</v>
      </c>
      <c r="C19" s="5">
        <f>IF('PART 2023'!G$4&lt;1,0,'COEF Art 14 F I'!$AF20*'PART 2023'!$G$4)</f>
        <v>23974281.899607547</v>
      </c>
      <c r="D19" s="5">
        <f>IF('PART 2023'!G$5&lt;1,0,'COEF Art 14 F I'!$AF20*'PART 2023'!$G$5)</f>
        <v>4716389.6259954292</v>
      </c>
      <c r="E19" s="5">
        <f>IF('PART 2023'!G$6&lt;1,0,'COEF Art 14 F I'!$AF20*'PART 2023'!$G$6)</f>
        <v>556820.32349991892</v>
      </c>
      <c r="F19" s="5">
        <f>IF('PART 2023'!G$7&lt;1,0,'COEF Art 14 F I'!$AF20*'PART 2023'!$G$7)</f>
        <v>1149274.7425006016</v>
      </c>
      <c r="G19" s="5">
        <f>IF('PART 2023'!G$8&lt;1,0,'COEF Art 14 F I'!$AF20*'PART 2023'!$G$8)</f>
        <v>2110793.0226337123</v>
      </c>
      <c r="H19" s="257">
        <f>IF('PART 2023'!G$9&lt;1,0,'COEF Art 14 F I'!$AF20*'PART 2023'!$G$9)</f>
        <v>58080.455535964968</v>
      </c>
    </row>
    <row r="20" spans="1:8" ht="12.75" customHeight="1">
      <c r="A20" s="248">
        <v>27</v>
      </c>
      <c r="B20" s="4" t="s">
        <v>9</v>
      </c>
      <c r="C20" s="5">
        <f>IF('PART 2023'!G$4&lt;1,0,'COEF Art 14 F I'!$AF21*'PART 2023'!$G$4)</f>
        <v>3444942.4415253806</v>
      </c>
      <c r="D20" s="5">
        <f>IF('PART 2023'!G$5&lt;1,0,'COEF Art 14 F I'!$AF21*'PART 2023'!$G$5)</f>
        <v>677713.34555082722</v>
      </c>
      <c r="E20" s="5">
        <f>IF('PART 2023'!G$6&lt;1,0,'COEF Art 14 F I'!$AF21*'PART 2023'!$G$6)</f>
        <v>80011.320996445109</v>
      </c>
      <c r="F20" s="5">
        <f>IF('PART 2023'!G$7&lt;1,0,'COEF Art 14 F I'!$AF21*'PART 2023'!$G$7)</f>
        <v>165143.02092519763</v>
      </c>
      <c r="G20" s="5">
        <f>IF('PART 2023'!G$8&lt;1,0,'COEF Art 14 F I'!$AF21*'PART 2023'!$G$8)</f>
        <v>303306.7058857581</v>
      </c>
      <c r="H20" s="257">
        <f>IF('PART 2023'!G$9&lt;1,0,'COEF Art 14 F I'!$AF21*'PART 2023'!$G$9)</f>
        <v>8345.7693180060924</v>
      </c>
    </row>
    <row r="21" spans="1:8" ht="12.75" customHeight="1">
      <c r="A21" s="248">
        <v>26</v>
      </c>
      <c r="B21" s="4" t="s">
        <v>132</v>
      </c>
      <c r="C21" s="5">
        <f>IF('PART 2023'!G$4&lt;1,0,'COEF Art 14 F I'!$AF22*'PART 2023'!$G$4)</f>
        <v>2310861.2095413795</v>
      </c>
      <c r="D21" s="5">
        <f>IF('PART 2023'!G$5&lt;1,0,'COEF Art 14 F I'!$AF22*'PART 2023'!$G$5)</f>
        <v>454608.89637635514</v>
      </c>
      <c r="E21" s="5">
        <f>IF('PART 2023'!G$6&lt;1,0,'COEF Art 14 F I'!$AF22*'PART 2023'!$G$6)</f>
        <v>53671.450583940474</v>
      </c>
      <c r="F21" s="5">
        <f>IF('PART 2023'!G$7&lt;1,0,'COEF Art 14 F I'!$AF22*'PART 2023'!$G$7)</f>
        <v>110777.64216970241</v>
      </c>
      <c r="G21" s="5">
        <f>IF('PART 2023'!G$8&lt;1,0,'COEF Art 14 F I'!$AF22*'PART 2023'!$G$8)</f>
        <v>203457.59417531054</v>
      </c>
      <c r="H21" s="257">
        <f>IF('PART 2023'!G$9&lt;1,0,'COEF Art 14 F I'!$AF22*'PART 2023'!$G$9)</f>
        <v>5598.327086191116</v>
      </c>
    </row>
    <row r="22" spans="1:8" ht="12.75" customHeight="1">
      <c r="A22" s="248">
        <v>29</v>
      </c>
      <c r="B22" s="4" t="s">
        <v>10</v>
      </c>
      <c r="C22" s="5">
        <f>IF('PART 2023'!G$4&lt;1,0,'COEF Art 14 F I'!$AF23*'PART 2023'!$G$4)</f>
        <v>22389553.232342284</v>
      </c>
      <c r="D22" s="5">
        <f>IF('PART 2023'!G$5&lt;1,0,'COEF Art 14 F I'!$AF23*'PART 2023'!$G$5)</f>
        <v>4404630.6386937164</v>
      </c>
      <c r="E22" s="5">
        <f>IF('PART 2023'!G$6&lt;1,0,'COEF Art 14 F I'!$AF23*'PART 2023'!$G$6)</f>
        <v>520013.83507781179</v>
      </c>
      <c r="F22" s="5">
        <f>IF('PART 2023'!G$7&lt;1,0,'COEF Art 14 F I'!$AF23*'PART 2023'!$G$7)</f>
        <v>1073306.3093841788</v>
      </c>
      <c r="G22" s="5">
        <f>IF('PART 2023'!G$8&lt;1,0,'COEF Art 14 F I'!$AF23*'PART 2023'!$G$8)</f>
        <v>1971267.0828104266</v>
      </c>
      <c r="H22" s="257">
        <f>IF('PART 2023'!G$9&lt;1,0,'COEF Art 14 F I'!$AF23*'PART 2023'!$G$9)</f>
        <v>54241.268056602938</v>
      </c>
    </row>
    <row r="23" spans="1:8" ht="12.75" customHeight="1">
      <c r="A23" s="248">
        <v>30</v>
      </c>
      <c r="B23" s="4" t="s">
        <v>133</v>
      </c>
      <c r="C23" s="5">
        <f>IF('PART 2023'!G$4&lt;1,0,'COEF Art 14 F I'!$AF24*'PART 2023'!$G$4)</f>
        <v>85290885.482071921</v>
      </c>
      <c r="D23" s="5">
        <f>IF('PART 2023'!G$5&lt;1,0,'COEF Art 14 F I'!$AF24*'PART 2023'!$G$5)</f>
        <v>16779023.837464478</v>
      </c>
      <c r="E23" s="5">
        <f>IF('PART 2023'!G$6&lt;1,0,'COEF Art 14 F I'!$AF24*'PART 2023'!$G$6)</f>
        <v>1980943.5229215042</v>
      </c>
      <c r="F23" s="5">
        <f>IF('PART 2023'!G$7&lt;1,0,'COEF Art 14 F I'!$AF24*'PART 2023'!$G$7)</f>
        <v>4088658.8745609568</v>
      </c>
      <c r="G23" s="5">
        <f>IF('PART 2023'!G$8&lt;1,0,'COEF Art 14 F I'!$AF24*'PART 2023'!$G$8)</f>
        <v>7509355.5136996824</v>
      </c>
      <c r="H23" s="257">
        <f>IF('PART 2023'!G$9&lt;1,0,'COEF Art 14 F I'!$AF24*'PART 2023'!$G$9)</f>
        <v>206626.98063734913</v>
      </c>
    </row>
    <row r="24" spans="1:8" ht="12.75" customHeight="1">
      <c r="A24" s="248">
        <v>32</v>
      </c>
      <c r="B24" s="4" t="s">
        <v>11</v>
      </c>
      <c r="C24" s="5">
        <f>IF('PART 2023'!G$4&lt;1,0,'COEF Art 14 F I'!$AF25*'PART 2023'!$G$4)</f>
        <v>6365919.9297401309</v>
      </c>
      <c r="D24" s="5">
        <f>IF('PART 2023'!G$5&lt;1,0,'COEF Art 14 F I'!$AF25*'PART 2023'!$G$5)</f>
        <v>1252348.6143305672</v>
      </c>
      <c r="E24" s="5">
        <f>IF('PART 2023'!G$6&lt;1,0,'COEF Art 14 F I'!$AF25*'PART 2023'!$G$6)</f>
        <v>147853.1707225194</v>
      </c>
      <c r="F24" s="5">
        <f>IF('PART 2023'!G$7&lt;1,0,'COEF Art 14 F I'!$AF25*'PART 2023'!$G$7)</f>
        <v>305168.30571477104</v>
      </c>
      <c r="G24" s="5">
        <f>IF('PART 2023'!G$8&lt;1,0,'COEF Art 14 F I'!$AF25*'PART 2023'!$G$8)</f>
        <v>560481.41198174213</v>
      </c>
      <c r="H24" s="257">
        <f>IF('PART 2023'!G$9&lt;1,0,'COEF Art 14 F I'!$AF25*'PART 2023'!$G$9)</f>
        <v>15422.173267714743</v>
      </c>
    </row>
    <row r="25" spans="1:8" ht="12.75" customHeight="1">
      <c r="A25" s="248">
        <v>33</v>
      </c>
      <c r="B25" s="4" t="s">
        <v>12</v>
      </c>
      <c r="C25" s="5">
        <f>IF('PART 2023'!G$4&lt;1,0,'COEF Art 14 F I'!$AF26*'PART 2023'!$G$4)</f>
        <v>123916546.83050455</v>
      </c>
      <c r="D25" s="5">
        <f>IF('PART 2023'!G$5&lt;1,0,'COEF Art 14 F I'!$AF26*'PART 2023'!$G$5)</f>
        <v>24377736.042643916</v>
      </c>
      <c r="E25" s="5">
        <f>IF('PART 2023'!G$6&lt;1,0,'COEF Art 14 F I'!$AF26*'PART 2023'!$G$6)</f>
        <v>2878052.9061136926</v>
      </c>
      <c r="F25" s="5">
        <f>IF('PART 2023'!G$7&lt;1,0,'COEF Art 14 F I'!$AF26*'PART 2023'!$G$7)</f>
        <v>5940288.7663769051</v>
      </c>
      <c r="G25" s="5">
        <f>IF('PART 2023'!G$8&lt;1,0,'COEF Art 14 F I'!$AF26*'PART 2023'!$G$8)</f>
        <v>10910115.411756063</v>
      </c>
      <c r="H25" s="257">
        <f>IF('PART 2023'!G$9&lt;1,0,'COEF Art 14 F I'!$AF26*'PART 2023'!$G$9)</f>
        <v>300202.08815836342</v>
      </c>
    </row>
    <row r="26" spans="1:8" ht="12.75" customHeight="1">
      <c r="A26" s="248">
        <v>34</v>
      </c>
      <c r="B26" s="4" t="s">
        <v>134</v>
      </c>
      <c r="C26" s="5">
        <f>IF('PART 2023'!G$4&lt;1,0,'COEF Art 14 F I'!$AF27*'PART 2023'!$G$4)</f>
        <v>10046811.820086543</v>
      </c>
      <c r="D26" s="5">
        <f>IF('PART 2023'!G$5&lt;1,0,'COEF Art 14 F I'!$AF27*'PART 2023'!$G$5)</f>
        <v>1976479.5976375043</v>
      </c>
      <c r="E26" s="5">
        <f>IF('PART 2023'!G$6&lt;1,0,'COEF Art 14 F I'!$AF27*'PART 2023'!$G$6)</f>
        <v>233344.59114268507</v>
      </c>
      <c r="F26" s="5">
        <f>IF('PART 2023'!G$7&lt;1,0,'COEF Art 14 F I'!$AF27*'PART 2023'!$G$7)</f>
        <v>481622.22817906283</v>
      </c>
      <c r="G26" s="5">
        <f>IF('PART 2023'!G$8&lt;1,0,'COEF Art 14 F I'!$AF27*'PART 2023'!$G$8)</f>
        <v>884562.0643970042</v>
      </c>
      <c r="H26" s="257">
        <f>IF('PART 2023'!G$9&lt;1,0,'COEF Art 14 F I'!$AF27*'PART 2023'!$G$9)</f>
        <v>24339.55726550024</v>
      </c>
    </row>
    <row r="27" spans="1:8" ht="12.75" customHeight="1">
      <c r="A27" s="248">
        <v>35</v>
      </c>
      <c r="B27" s="4" t="s">
        <v>13</v>
      </c>
      <c r="C27" s="5">
        <f>IF('PART 2023'!G$4&lt;1,0,'COEF Art 14 F I'!$AF28*'PART 2023'!$G$4)</f>
        <v>2032759.5762210097</v>
      </c>
      <c r="D27" s="5">
        <f>IF('PART 2023'!G$5&lt;1,0,'COEF Art 14 F I'!$AF28*'PART 2023'!$G$5)</f>
        <v>399898.78393765684</v>
      </c>
      <c r="E27" s="5">
        <f>IF('PART 2023'!G$6&lt;1,0,'COEF Art 14 F I'!$AF28*'PART 2023'!$G$6)</f>
        <v>47212.335684076083</v>
      </c>
      <c r="F27" s="5">
        <f>IF('PART 2023'!G$7&lt;1,0,'COEF Art 14 F I'!$AF28*'PART 2023'!$G$7)</f>
        <v>97446.056916736095</v>
      </c>
      <c r="G27" s="5">
        <f>IF('PART 2023'!G$8&lt;1,0,'COEF Art 14 F I'!$AF28*'PART 2023'!$G$8)</f>
        <v>178972.39834530384</v>
      </c>
      <c r="H27" s="257">
        <f>IF('PART 2023'!G$9&lt;1,0,'COEF Art 14 F I'!$AF28*'PART 2023'!$G$9)</f>
        <v>4924.5938909204206</v>
      </c>
    </row>
    <row r="28" spans="1:8" ht="12.75" customHeight="1">
      <c r="A28" s="248">
        <v>61</v>
      </c>
      <c r="B28" s="4" t="s">
        <v>14</v>
      </c>
      <c r="C28" s="5">
        <f>IF('PART 2023'!G$4&lt;1,0,'COEF Art 14 F I'!$AF29*'PART 2023'!$G$4)</f>
        <v>5816002.9846580736</v>
      </c>
      <c r="D28" s="5">
        <f>IF('PART 2023'!G$5&lt;1,0,'COEF Art 14 F I'!$AF29*'PART 2023'!$G$5)</f>
        <v>1144165.078915203</v>
      </c>
      <c r="E28" s="5">
        <f>IF('PART 2023'!G$6&lt;1,0,'COEF Art 14 F I'!$AF29*'PART 2023'!$G$6)</f>
        <v>135080.94536282297</v>
      </c>
      <c r="F28" s="5">
        <f>IF('PART 2023'!G$7&lt;1,0,'COEF Art 14 F I'!$AF29*'PART 2023'!$G$7)</f>
        <v>278806.48774239438</v>
      </c>
      <c r="G28" s="5">
        <f>IF('PART 2023'!G$8&lt;1,0,'COEF Art 14 F I'!$AF29*'PART 2023'!$G$8)</f>
        <v>512064.49357025663</v>
      </c>
      <c r="H28" s="257">
        <f>IF('PART 2023'!G$9&lt;1,0,'COEF Art 14 F I'!$AF29*'PART 2023'!$G$9)</f>
        <v>14089.936214231404</v>
      </c>
    </row>
    <row r="29" spans="1:8" ht="12.75" customHeight="1">
      <c r="A29" s="248">
        <v>36</v>
      </c>
      <c r="B29" s="4" t="s">
        <v>15</v>
      </c>
      <c r="C29" s="5">
        <f>IF('PART 2023'!G$4&lt;1,0,'COEF Art 14 F I'!$AF30*'PART 2023'!$G$4)</f>
        <v>21746875.16211405</v>
      </c>
      <c r="D29" s="5">
        <f>IF('PART 2023'!G$5&lt;1,0,'COEF Art 14 F I'!$AF30*'PART 2023'!$G$5)</f>
        <v>4278198.4812688539</v>
      </c>
      <c r="E29" s="5">
        <f>IF('PART 2023'!G$6&lt;1,0,'COEF Art 14 F I'!$AF30*'PART 2023'!$G$6)</f>
        <v>505087.16438672226</v>
      </c>
      <c r="F29" s="5">
        <f>IF('PART 2023'!G$7&lt;1,0,'COEF Art 14 F I'!$AF30*'PART 2023'!$G$7)</f>
        <v>1042497.7255540023</v>
      </c>
      <c r="G29" s="5">
        <f>IF('PART 2023'!G$8&lt;1,0,'COEF Art 14 F I'!$AF30*'PART 2023'!$G$8)</f>
        <v>1914683.0986845177</v>
      </c>
      <c r="H29" s="257">
        <f>IF('PART 2023'!G$9&lt;1,0,'COEF Art 14 F I'!$AF30*'PART 2023'!$G$9)</f>
        <v>52684.306507634006</v>
      </c>
    </row>
    <row r="30" spans="1:8" ht="12.75" customHeight="1">
      <c r="A30" s="248">
        <v>28</v>
      </c>
      <c r="B30" s="4" t="s">
        <v>16</v>
      </c>
      <c r="C30" s="5">
        <f>IF('PART 2023'!G$4&lt;1,0,'COEF Art 14 F I'!$AF31*'PART 2023'!$G$4)</f>
        <v>214439219.78486627</v>
      </c>
      <c r="D30" s="5">
        <f>IF('PART 2023'!G$5&lt;1,0,'COEF Art 14 F I'!$AF31*'PART 2023'!$G$5)</f>
        <v>42185993.967829883</v>
      </c>
      <c r="E30" s="5">
        <f>IF('PART 2023'!G$6&lt;1,0,'COEF Art 14 F I'!$AF31*'PART 2023'!$G$6)</f>
        <v>4980508.5395960947</v>
      </c>
      <c r="F30" s="5">
        <f>IF('PART 2023'!G$7&lt;1,0,'COEF Art 14 F I'!$AF31*'PART 2023'!$G$7)</f>
        <v>10279748.112260098</v>
      </c>
      <c r="G30" s="5">
        <f>IF('PART 2023'!G$8&lt;1,0,'COEF Art 14 F I'!$AF31*'PART 2023'!$G$8)</f>
        <v>18880098.715629201</v>
      </c>
      <c r="H30" s="257">
        <f>IF('PART 2023'!G$9&lt;1,0,'COEF Art 14 F I'!$AF31*'PART 2023'!$G$9)</f>
        <v>519503.67573202791</v>
      </c>
    </row>
    <row r="31" spans="1:8" ht="12.75" customHeight="1">
      <c r="A31" s="248">
        <v>37</v>
      </c>
      <c r="B31" s="4" t="s">
        <v>135</v>
      </c>
      <c r="C31" s="5">
        <f>IF('PART 2023'!G$4&lt;1,0,'COEF Art 14 F I'!$AF32*'PART 2023'!$G$4)</f>
        <v>2099776.7644270626</v>
      </c>
      <c r="D31" s="5">
        <f>IF('PART 2023'!G$5&lt;1,0,'COEF Art 14 F I'!$AF32*'PART 2023'!$G$5)</f>
        <v>413082.87731496821</v>
      </c>
      <c r="E31" s="5">
        <f>IF('PART 2023'!G$6&lt;1,0,'COEF Art 14 F I'!$AF32*'PART 2023'!$G$6)</f>
        <v>48768.859152566722</v>
      </c>
      <c r="F31" s="5">
        <f>IF('PART 2023'!G$7&lt;1,0,'COEF Art 14 F I'!$AF32*'PART 2023'!$G$7)</f>
        <v>100658.71463224778</v>
      </c>
      <c r="G31" s="5">
        <f>IF('PART 2023'!G$8&lt;1,0,'COEF Art 14 F I'!$AF32*'PART 2023'!$G$8)</f>
        <v>184872.86342927295</v>
      </c>
      <c r="H31" s="257">
        <f>IF('PART 2023'!G$9&lt;1,0,'COEF Art 14 F I'!$AF32*'PART 2023'!$G$9)</f>
        <v>5086.9507379803854</v>
      </c>
    </row>
    <row r="32" spans="1:8" ht="12.75" customHeight="1">
      <c r="A32" s="248">
        <v>39</v>
      </c>
      <c r="B32" s="4" t="s">
        <v>17</v>
      </c>
      <c r="C32" s="5">
        <f>IF('PART 2023'!G$4&lt;1,0,'COEF Art 14 F I'!$AF33*'PART 2023'!$G$4)</f>
        <v>4020493.1522900369</v>
      </c>
      <c r="D32" s="5">
        <f>IF('PART 2023'!G$5&lt;1,0,'COEF Art 14 F I'!$AF33*'PART 2023'!$G$5)</f>
        <v>790939.73593247845</v>
      </c>
      <c r="E32" s="5">
        <f>IF('PART 2023'!G$6&lt;1,0,'COEF Art 14 F I'!$AF33*'PART 2023'!$G$6)</f>
        <v>93378.909410587774</v>
      </c>
      <c r="F32" s="5">
        <f>IF('PART 2023'!G$7&lt;1,0,'COEF Art 14 F I'!$AF33*'PART 2023'!$G$7)</f>
        <v>192733.66567026157</v>
      </c>
      <c r="G32" s="5">
        <f>IF('PART 2023'!G$8&lt;1,0,'COEF Art 14 F I'!$AF33*'PART 2023'!$G$8)</f>
        <v>353980.52500330994</v>
      </c>
      <c r="H32" s="257">
        <f>IF('PART 2023'!G$9&lt;1,0,'COEF Art 14 F I'!$AF33*'PART 2023'!$G$9)</f>
        <v>9740.107117371288</v>
      </c>
    </row>
    <row r="33" spans="1:8" ht="12.75" customHeight="1">
      <c r="A33" s="248">
        <v>38</v>
      </c>
      <c r="B33" s="4" t="s">
        <v>18</v>
      </c>
      <c r="C33" s="5">
        <f>IF('PART 2023'!G$4&lt;1,0,'COEF Art 14 F I'!$AF34*'PART 2023'!$G$4)</f>
        <v>2959943.9575871713</v>
      </c>
      <c r="D33" s="5">
        <f>IF('PART 2023'!G$5&lt;1,0,'COEF Art 14 F I'!$AF34*'PART 2023'!$G$5)</f>
        <v>582301.02714027558</v>
      </c>
      <c r="E33" s="5">
        <f>IF('PART 2023'!G$6&lt;1,0,'COEF Art 14 F I'!$AF34*'PART 2023'!$G$6)</f>
        <v>68746.874626192628</v>
      </c>
      <c r="F33" s="5">
        <f>IF('PART 2023'!G$7&lt;1,0,'COEF Art 14 F I'!$AF34*'PART 2023'!$G$7)</f>
        <v>141893.25227413359</v>
      </c>
      <c r="G33" s="5">
        <f>IF('PART 2023'!G$8&lt;1,0,'COEF Art 14 F I'!$AF34*'PART 2023'!$G$8)</f>
        <v>260605.47211485379</v>
      </c>
      <c r="H33" s="257">
        <f>IF('PART 2023'!G$9&lt;1,0,'COEF Art 14 F I'!$AF34*'PART 2023'!$G$9)</f>
        <v>7170.8047038691111</v>
      </c>
    </row>
    <row r="34" spans="1:8" ht="12.75" customHeight="1">
      <c r="A34" s="248">
        <v>40</v>
      </c>
      <c r="B34" s="4" t="s">
        <v>19</v>
      </c>
      <c r="C34" s="5">
        <f>IF('PART 2023'!G$4&lt;1,0,'COEF Art 14 F I'!$AF35*'PART 2023'!$G$4)</f>
        <v>3509256.1253828863</v>
      </c>
      <c r="D34" s="5">
        <f>IF('PART 2023'!G$5&lt;1,0,'COEF Art 14 F I'!$AF35*'PART 2023'!$G$5)</f>
        <v>690365.58650741889</v>
      </c>
      <c r="E34" s="5">
        <f>IF('PART 2023'!G$6&lt;1,0,'COEF Art 14 F I'!$AF35*'PART 2023'!$G$6)</f>
        <v>81505.053588769137</v>
      </c>
      <c r="F34" s="5">
        <f>IF('PART 2023'!G$7&lt;1,0,'COEF Art 14 F I'!$AF35*'PART 2023'!$G$7)</f>
        <v>168226.07854352862</v>
      </c>
      <c r="G34" s="5">
        <f>IF('PART 2023'!G$8&lt;1,0,'COEF Art 14 F I'!$AF35*'PART 2023'!$G$8)</f>
        <v>308969.14348095946</v>
      </c>
      <c r="H34" s="257">
        <f>IF('PART 2023'!G$9&lt;1,0,'COEF Art 14 F I'!$AF35*'PART 2023'!$G$9)</f>
        <v>8501.576614811971</v>
      </c>
    </row>
    <row r="35" spans="1:8" ht="12.75" customHeight="1">
      <c r="A35" s="248">
        <v>41</v>
      </c>
      <c r="B35" s="4" t="s">
        <v>20</v>
      </c>
      <c r="C35" s="5">
        <f>IF('PART 2023'!G$4&lt;1,0,'COEF Art 14 F I'!$AF36*'PART 2023'!$G$4)</f>
        <v>3697076.7874141079</v>
      </c>
      <c r="D35" s="5">
        <f>IF('PART 2023'!G$5&lt;1,0,'COEF Art 14 F I'!$AF36*'PART 2023'!$G$5)</f>
        <v>727314.99027521838</v>
      </c>
      <c r="E35" s="5">
        <f>IF('PART 2023'!G$6&lt;1,0,'COEF Art 14 F I'!$AF36*'PART 2023'!$G$6)</f>
        <v>85867.3265540297</v>
      </c>
      <c r="F35" s="5">
        <f>IF('PART 2023'!G$7&lt;1,0,'COEF Art 14 F I'!$AF36*'PART 2023'!$G$7)</f>
        <v>177229.79110084855</v>
      </c>
      <c r="G35" s="5">
        <f>IF('PART 2023'!G$8&lt;1,0,'COEF Art 14 F I'!$AF36*'PART 2023'!$G$8)</f>
        <v>325505.63640208577</v>
      </c>
      <c r="H35" s="257">
        <f>IF('PART 2023'!G$9&lt;1,0,'COEF Art 14 F I'!$AF36*'PART 2023'!$G$9)</f>
        <v>8956.5937725946387</v>
      </c>
    </row>
    <row r="36" spans="1:8" ht="12.75" customHeight="1">
      <c r="A36" s="248">
        <v>42</v>
      </c>
      <c r="B36" s="4" t="s">
        <v>136</v>
      </c>
      <c r="C36" s="5">
        <f>IF('PART 2023'!G$4&lt;1,0,'COEF Art 14 F I'!$AF37*'PART 2023'!$G$4)</f>
        <v>106749830.50743924</v>
      </c>
      <c r="D36" s="5">
        <f>IF('PART 2023'!G$5&lt;1,0,'COEF Art 14 F I'!$AF37*'PART 2023'!$G$5)</f>
        <v>21000578.673862118</v>
      </c>
      <c r="E36" s="5">
        <f>IF('PART 2023'!G$6&lt;1,0,'COEF Art 14 F I'!$AF37*'PART 2023'!$G$6)</f>
        <v>2479343.2981901686</v>
      </c>
      <c r="F36" s="5">
        <f>IF('PART 2023'!G$7&lt;1,0,'COEF Art 14 F I'!$AF37*'PART 2023'!$G$7)</f>
        <v>5117353.857861679</v>
      </c>
      <c r="G36" s="5">
        <f>IF('PART 2023'!G$8&lt;1,0,'COEF Art 14 F I'!$AF37*'PART 2023'!$G$8)</f>
        <v>9398688.0752462801</v>
      </c>
      <c r="H36" s="257">
        <f>IF('PART 2023'!G$9&lt;1,0,'COEF Art 14 F I'!$AF37*'PART 2023'!$G$9)</f>
        <v>258613.74326964162</v>
      </c>
    </row>
    <row r="37" spans="1:8" ht="12.75" customHeight="1">
      <c r="A37" s="248">
        <v>43</v>
      </c>
      <c r="B37" s="4" t="s">
        <v>21</v>
      </c>
      <c r="C37" s="5">
        <f>IF('PART 2023'!G$4&lt;1,0,'COEF Art 14 F I'!$AF38*'PART 2023'!$G$4)</f>
        <v>9285261.7660927083</v>
      </c>
      <c r="D37" s="5">
        <f>IF('PART 2023'!G$5&lt;1,0,'COEF Art 14 F I'!$AF38*'PART 2023'!$G$5)</f>
        <v>1826662.1061533662</v>
      </c>
      <c r="E37" s="5">
        <f>IF('PART 2023'!G$6&lt;1,0,'COEF Art 14 F I'!$AF38*'PART 2023'!$G$6)</f>
        <v>215657.03123153004</v>
      </c>
      <c r="F37" s="5">
        <f>IF('PART 2023'!G$7&lt;1,0,'COEF Art 14 F I'!$AF38*'PART 2023'!$G$7)</f>
        <v>445115.18092442077</v>
      </c>
      <c r="G37" s="5">
        <f>IF('PART 2023'!G$8&lt;1,0,'COEF Art 14 F I'!$AF38*'PART 2023'!$G$8)</f>
        <v>817512.10865326924</v>
      </c>
      <c r="H37" s="257">
        <f>IF('PART 2023'!G$9&lt;1,0,'COEF Art 14 F I'!$AF38*'PART 2023'!$G$9)</f>
        <v>22494.614662646942</v>
      </c>
    </row>
    <row r="38" spans="1:8" ht="12.75" customHeight="1">
      <c r="A38" s="248">
        <v>44</v>
      </c>
      <c r="B38" s="4" t="s">
        <v>22</v>
      </c>
      <c r="C38" s="5">
        <f>IF('PART 2023'!G$4&lt;1,0,'COEF Art 14 F I'!$AF39*'PART 2023'!$G$4)</f>
        <v>23813915.121133585</v>
      </c>
      <c r="D38" s="5">
        <f>IF('PART 2023'!G$5&lt;1,0,'COEF Art 14 F I'!$AF39*'PART 2023'!$G$5)</f>
        <v>4684841.1436043354</v>
      </c>
      <c r="E38" s="5">
        <f>IF('PART 2023'!G$6&lt;1,0,'COEF Art 14 F I'!$AF39*'PART 2023'!$G$6)</f>
        <v>553095.68716493144</v>
      </c>
      <c r="F38" s="5">
        <f>IF('PART 2023'!G$7&lt;1,0,'COEF Art 14 F I'!$AF39*'PART 2023'!$G$7)</f>
        <v>1141587.1091938734</v>
      </c>
      <c r="G38" s="5">
        <f>IF('PART 2023'!G$8&lt;1,0,'COEF Art 14 F I'!$AF39*'PART 2023'!$G$8)</f>
        <v>2096673.6809790777</v>
      </c>
      <c r="H38" s="257">
        <f>IF('PART 2023'!G$9&lt;1,0,'COEF Art 14 F I'!$AF39*'PART 2023'!$G$9)</f>
        <v>57691.948568974003</v>
      </c>
    </row>
    <row r="39" spans="1:8" ht="12.75" customHeight="1">
      <c r="A39" s="248">
        <v>46</v>
      </c>
      <c r="B39" s="4" t="s">
        <v>137</v>
      </c>
      <c r="C39" s="5">
        <f>IF('PART 2023'!G$4&lt;1,0,'COEF Art 14 F I'!$AF40*'PART 2023'!$G$4)</f>
        <v>4737470.7740363115</v>
      </c>
      <c r="D39" s="5">
        <f>IF('PART 2023'!G$5&lt;1,0,'COEF Art 14 F I'!$AF40*'PART 2023'!$G$5)</f>
        <v>931988.62454717199</v>
      </c>
      <c r="E39" s="5">
        <f>IF('PART 2023'!G$6&lt;1,0,'COEF Art 14 F I'!$AF40*'PART 2023'!$G$6)</f>
        <v>110031.241812231</v>
      </c>
      <c r="F39" s="5">
        <f>IF('PART 2023'!G$7&lt;1,0,'COEF Art 14 F I'!$AF40*'PART 2023'!$G$7)</f>
        <v>227104.00781696974</v>
      </c>
      <c r="G39" s="5">
        <f>IF('PART 2023'!G$8&lt;1,0,'COEF Art 14 F I'!$AF40*'PART 2023'!$G$8)</f>
        <v>417106.14301780926</v>
      </c>
      <c r="H39" s="257">
        <f>IF('PART 2023'!G$9&lt;1,0,'COEF Art 14 F I'!$AF40*'PART 2023'!$G$9)</f>
        <v>11477.067876175002</v>
      </c>
    </row>
    <row r="40" spans="1:8" ht="12.75" customHeight="1">
      <c r="A40" s="248">
        <v>49</v>
      </c>
      <c r="B40" s="4" t="s">
        <v>23</v>
      </c>
      <c r="C40" s="5">
        <f>IF('PART 2023'!G$4&lt;1,0,'COEF Art 14 F I'!$AF41*'PART 2023'!$G$4)</f>
        <v>812826.26230355666</v>
      </c>
      <c r="D40" s="5">
        <f>IF('PART 2023'!G$5&lt;1,0,'COEF Art 14 F I'!$AF41*'PART 2023'!$G$5)</f>
        <v>159904.90840636563</v>
      </c>
      <c r="E40" s="5">
        <f>IF('PART 2023'!G$6&lt;1,0,'COEF Art 14 F I'!$AF41*'PART 2023'!$G$6)</f>
        <v>18878.48754846356</v>
      </c>
      <c r="F40" s="5">
        <f>IF('PART 2023'!G$7&lt;1,0,'COEF Art 14 F I'!$AF41*'PART 2023'!$G$7)</f>
        <v>38965.11675379685</v>
      </c>
      <c r="G40" s="5">
        <f>IF('PART 2023'!G$8&lt;1,0,'COEF Art 14 F I'!$AF41*'PART 2023'!$G$8)</f>
        <v>71564.521109258872</v>
      </c>
      <c r="H40" s="257">
        <f>IF('PART 2023'!G$9&lt;1,0,'COEF Art 14 F I'!$AF41*'PART 2023'!$G$9)</f>
        <v>1969.1651155131838</v>
      </c>
    </row>
    <row r="41" spans="1:8" ht="12.75" customHeight="1">
      <c r="A41" s="248">
        <v>48</v>
      </c>
      <c r="B41" s="4" t="s">
        <v>24</v>
      </c>
      <c r="C41" s="5">
        <f>IF('PART 2023'!G$4&lt;1,0,'COEF Art 14 F I'!$AF42*'PART 2023'!$G$4)</f>
        <v>6397360.6602076963</v>
      </c>
      <c r="D41" s="5">
        <f>IF('PART 2023'!G$5&lt;1,0,'COEF Art 14 F I'!$AF42*'PART 2023'!$G$5)</f>
        <v>1258533.8563174552</v>
      </c>
      <c r="E41" s="5">
        <f>IF('PART 2023'!G$6&lt;1,0,'COEF Art 14 F I'!$AF42*'PART 2023'!$G$6)</f>
        <v>148583.40480349553</v>
      </c>
      <c r="F41" s="5">
        <f>IF('PART 2023'!G$7&lt;1,0,'COEF Art 14 F I'!$AF42*'PART 2023'!$G$7)</f>
        <v>306675.50570363633</v>
      </c>
      <c r="G41" s="5">
        <f>IF('PART 2023'!G$8&lt;1,0,'COEF Art 14 F I'!$AF42*'PART 2023'!$G$8)</f>
        <v>563249.58142161719</v>
      </c>
      <c r="H41" s="257">
        <f>IF('PART 2023'!G$9&lt;1,0,'COEF Art 14 F I'!$AF42*'PART 2023'!$G$9)</f>
        <v>15498.34205373246</v>
      </c>
    </row>
    <row r="42" spans="1:8" ht="12.75" customHeight="1">
      <c r="A42" s="248">
        <v>47</v>
      </c>
      <c r="B42" s="4" t="s">
        <v>25</v>
      </c>
      <c r="C42" s="5">
        <f>IF('PART 2023'!G$4&lt;1,0,'COEF Art 14 F I'!$AF43*'PART 2023'!$G$4)</f>
        <v>8295650.7659043316</v>
      </c>
      <c r="D42" s="5">
        <f>IF('PART 2023'!G$5&lt;1,0,'COEF Art 14 F I'!$AF43*'PART 2023'!$G$5)</f>
        <v>1631978.8587216332</v>
      </c>
      <c r="E42" s="5">
        <f>IF('PART 2023'!G$6&lt;1,0,'COEF Art 14 F I'!$AF43*'PART 2023'!$G$6)</f>
        <v>192672.58816994287</v>
      </c>
      <c r="F42" s="5">
        <f>IF('PART 2023'!G$7&lt;1,0,'COEF Art 14 F I'!$AF43*'PART 2023'!$G$7)</f>
        <v>397675.38972734316</v>
      </c>
      <c r="G42" s="5">
        <f>IF('PART 2023'!G$8&lt;1,0,'COEF Art 14 F I'!$AF43*'PART 2023'!$G$8)</f>
        <v>730382.7421485153</v>
      </c>
      <c r="H42" s="257">
        <f>IF('PART 2023'!G$9&lt;1,0,'COEF Art 14 F I'!$AF43*'PART 2023'!$G$9)</f>
        <v>20097.168184999424</v>
      </c>
    </row>
    <row r="43" spans="1:8" ht="12.75" customHeight="1">
      <c r="A43" s="248">
        <v>45</v>
      </c>
      <c r="B43" s="4" t="s">
        <v>26</v>
      </c>
      <c r="C43" s="5">
        <f>IF('PART 2023'!G$4&lt;1,0,'COEF Art 14 F I'!$AF44*'PART 2023'!$G$4)</f>
        <v>17710132.992055211</v>
      </c>
      <c r="D43" s="5">
        <f>IF('PART 2023'!G$5&lt;1,0,'COEF Art 14 F I'!$AF44*'PART 2023'!$G$5)</f>
        <v>3484062.1240920643</v>
      </c>
      <c r="E43" s="5">
        <f>IF('PART 2023'!G$6&lt;1,0,'COEF Art 14 F I'!$AF44*'PART 2023'!$G$6)</f>
        <v>411330.85959184449</v>
      </c>
      <c r="F43" s="5">
        <f>IF('PART 2023'!G$7&lt;1,0,'COEF Art 14 F I'!$AF44*'PART 2023'!$G$7)</f>
        <v>848985.11744073767</v>
      </c>
      <c r="G43" s="5">
        <f>IF('PART 2023'!G$8&lt;1,0,'COEF Art 14 F I'!$AF44*'PART 2023'!$G$8)</f>
        <v>1559271.9442477731</v>
      </c>
      <c r="H43" s="257">
        <f>IF('PART 2023'!G$9&lt;1,0,'COEF Art 14 F I'!$AF44*'PART 2023'!$G$9)</f>
        <v>42904.834275679685</v>
      </c>
    </row>
    <row r="44" spans="1:8" ht="12.75" customHeight="1">
      <c r="A44" s="248">
        <v>70</v>
      </c>
      <c r="B44" s="4" t="s">
        <v>27</v>
      </c>
      <c r="C44" s="5">
        <f>IF('PART 2023'!G$4&lt;1,0,'COEF Art 14 F I'!$AF45*'PART 2023'!$G$4)</f>
        <v>604698381.09203374</v>
      </c>
      <c r="D44" s="5">
        <f>IF('PART 2023'!G$5&lt;1,0,'COEF Art 14 F I'!$AF45*'PART 2023'!$G$5)</f>
        <v>118960525.42392875</v>
      </c>
      <c r="E44" s="5">
        <f>IF('PART 2023'!G$6&lt;1,0,'COEF Art 14 F I'!$AF45*'PART 2023'!$G$6)</f>
        <v>14044564.487458343</v>
      </c>
      <c r="F44" s="5">
        <f>IF('PART 2023'!G$7&lt;1,0,'COEF Art 14 F I'!$AF45*'PART 2023'!$G$7)</f>
        <v>28987920.436167646</v>
      </c>
      <c r="G44" s="5">
        <f>IF('PART 2023'!G$8&lt;1,0,'COEF Art 14 F I'!$AF45*'PART 2023'!$G$8)</f>
        <v>53240098.241601996</v>
      </c>
      <c r="H44" s="257">
        <f>IF('PART 2023'!G$9&lt;1,0,'COEF Art 14 F I'!$AF45*'PART 2023'!$G$9)</f>
        <v>1464951.383434796</v>
      </c>
    </row>
    <row r="45" spans="1:8" ht="12.75" customHeight="1">
      <c r="A45" s="248">
        <v>50</v>
      </c>
      <c r="B45" s="4" t="s">
        <v>138</v>
      </c>
      <c r="C45" s="5">
        <f>IF('PART 2023'!G$4&lt;1,0,'COEF Art 14 F I'!$AF46*'PART 2023'!$G$4)</f>
        <v>4191298.427497095</v>
      </c>
      <c r="D45" s="5">
        <f>IF('PART 2023'!G$5&lt;1,0,'COEF Art 14 F I'!$AF46*'PART 2023'!$G$5)</f>
        <v>824541.75293658534</v>
      </c>
      <c r="E45" s="5">
        <f>IF('PART 2023'!G$6&lt;1,0,'COEF Art 14 F I'!$AF46*'PART 2023'!$G$6)</f>
        <v>97345.987506797348</v>
      </c>
      <c r="F45" s="5">
        <f>IF('PART 2023'!G$7&lt;1,0,'COEF Art 14 F I'!$AF46*'PART 2023'!$G$7)</f>
        <v>200921.69772491718</v>
      </c>
      <c r="G45" s="5">
        <f>IF('PART 2023'!G$8&lt;1,0,'COEF Art 14 F I'!$AF46*'PART 2023'!$G$8)</f>
        <v>369018.91425083065</v>
      </c>
      <c r="H45" s="257">
        <f>IF('PART 2023'!G$9&lt;1,0,'COEF Art 14 F I'!$AF46*'PART 2023'!$G$9)</f>
        <v>10153.902543382952</v>
      </c>
    </row>
    <row r="46" spans="1:8" ht="12.75" customHeight="1">
      <c r="A46" s="248">
        <v>51</v>
      </c>
      <c r="B46" s="4" t="s">
        <v>139</v>
      </c>
      <c r="C46" s="5">
        <f>IF('PART 2023'!G$4&lt;1,0,'COEF Art 14 F I'!$AF47*'PART 2023'!$G$4)</f>
        <v>30609214.545914728</v>
      </c>
      <c r="D46" s="5">
        <f>IF('PART 2023'!G$5&lt;1,0,'COEF Art 14 F I'!$AF47*'PART 2023'!$G$5)</f>
        <v>6021660.3170326389</v>
      </c>
      <c r="E46" s="5">
        <f>IF('PART 2023'!G$6&lt;1,0,'COEF Art 14 F I'!$AF47*'PART 2023'!$G$6)</f>
        <v>710921.51234834979</v>
      </c>
      <c r="F46" s="5">
        <f>IF('PART 2023'!G$7&lt;1,0,'COEF Art 14 F I'!$AF47*'PART 2023'!$G$7)</f>
        <v>1467338.9306387394</v>
      </c>
      <c r="G46" s="5">
        <f>IF('PART 2023'!G$8&lt;1,0,'COEF Art 14 F I'!$AF47*'PART 2023'!$G$8)</f>
        <v>2694959.4053481449</v>
      </c>
      <c r="H46" s="257">
        <f>IF('PART 2023'!G$9&lt;1,0,'COEF Art 14 F I'!$AF47*'PART 2023'!$G$9)</f>
        <v>74154.343052665732</v>
      </c>
    </row>
    <row r="47" spans="1:8" ht="12.75" customHeight="1">
      <c r="A47" s="248">
        <v>52</v>
      </c>
      <c r="B47" s="4" t="s">
        <v>140</v>
      </c>
      <c r="C47" s="5">
        <f>IF('PART 2023'!G$4&lt;1,0,'COEF Art 14 F I'!$AF48*'PART 2023'!$G$4)</f>
        <v>4742579.1980339643</v>
      </c>
      <c r="D47" s="5">
        <f>IF('PART 2023'!G$5&lt;1,0,'COEF Art 14 F I'!$AF48*'PART 2023'!$G$5)</f>
        <v>932993.58970310877</v>
      </c>
      <c r="E47" s="5">
        <f>IF('PART 2023'!G$6&lt;1,0,'COEF Art 14 F I'!$AF48*'PART 2023'!$G$6)</f>
        <v>110149.88871539409</v>
      </c>
      <c r="F47" s="5">
        <f>IF('PART 2023'!G$7&lt;1,0,'COEF Art 14 F I'!$AF48*'PART 2023'!$G$7)</f>
        <v>227348.89451259925</v>
      </c>
      <c r="G47" s="5">
        <f>IF('PART 2023'!G$8&lt;1,0,'COEF Art 14 F I'!$AF48*'PART 2023'!$G$8)</f>
        <v>417555.90938729013</v>
      </c>
      <c r="H47" s="257">
        <f>IF('PART 2023'!G$9&lt;1,0,'COEF Art 14 F I'!$AF48*'PART 2023'!$G$9)</f>
        <v>11489.443620904163</v>
      </c>
    </row>
    <row r="48" spans="1:8" ht="12.75" customHeight="1">
      <c r="A48" s="248">
        <v>53</v>
      </c>
      <c r="B48" s="4" t="s">
        <v>28</v>
      </c>
      <c r="C48" s="5">
        <f>IF('PART 2023'!G$4&lt;1,0,'COEF Art 14 F I'!$AF49*'PART 2023'!$G$4)</f>
        <v>4318107.9195547272</v>
      </c>
      <c r="D48" s="5">
        <f>IF('PART 2023'!G$5&lt;1,0,'COEF Art 14 F I'!$AF49*'PART 2023'!$G$5)</f>
        <v>849488.60954413016</v>
      </c>
      <c r="E48" s="5">
        <f>IF('PART 2023'!G$6&lt;1,0,'COEF Art 14 F I'!$AF49*'PART 2023'!$G$6)</f>
        <v>100291.23119276347</v>
      </c>
      <c r="F48" s="5">
        <f>IF('PART 2023'!G$7&lt;1,0,'COEF Art 14 F I'!$AF49*'PART 2023'!$G$7)</f>
        <v>207000.66797067679</v>
      </c>
      <c r="G48" s="5">
        <f>IF('PART 2023'!G$8&lt;1,0,'COEF Art 14 F I'!$AF49*'PART 2023'!$G$8)</f>
        <v>380183.73629471252</v>
      </c>
      <c r="H48" s="257">
        <f>IF('PART 2023'!G$9&lt;1,0,'COEF Art 14 F I'!$AF49*'PART 2023'!$G$9)</f>
        <v>10461.113124114139</v>
      </c>
    </row>
    <row r="49" spans="1:8" ht="12.75" customHeight="1">
      <c r="A49" s="248">
        <v>54</v>
      </c>
      <c r="B49" s="4" t="s">
        <v>29</v>
      </c>
      <c r="C49" s="5">
        <f>IF('PART 2023'!G$4&lt;1,0,'COEF Art 14 F I'!$AF50*'PART 2023'!$G$4)</f>
        <v>10972734.591507332</v>
      </c>
      <c r="D49" s="5">
        <f>IF('PART 2023'!G$5&lt;1,0,'COEF Art 14 F I'!$AF50*'PART 2023'!$G$5)</f>
        <v>2158633.6480440544</v>
      </c>
      <c r="E49" s="5">
        <f>IF('PART 2023'!G$6&lt;1,0,'COEF Art 14 F I'!$AF50*'PART 2023'!$G$6)</f>
        <v>254849.82826625896</v>
      </c>
      <c r="F49" s="5">
        <f>IF('PART 2023'!G$7&lt;1,0,'COEF Art 14 F I'!$AF50*'PART 2023'!$G$7)</f>
        <v>526008.94470955851</v>
      </c>
      <c r="G49" s="5">
        <f>IF('PART 2023'!G$8&lt;1,0,'COEF Art 14 F I'!$AF50*'PART 2023'!$G$8)</f>
        <v>966084.06090963667</v>
      </c>
      <c r="H49" s="257">
        <f>IF('PART 2023'!G$9&lt;1,0,'COEF Art 14 F I'!$AF50*'PART 2023'!$G$9)</f>
        <v>26582.711683239984</v>
      </c>
    </row>
    <row r="50" spans="1:8" ht="12.75" customHeight="1">
      <c r="A50" s="248">
        <v>55</v>
      </c>
      <c r="B50" s="4" t="s">
        <v>30</v>
      </c>
      <c r="C50" s="5">
        <f>IF('PART 2023'!G$4&lt;1,0,'COEF Art 14 F I'!$AF51*'PART 2023'!$G$4)</f>
        <v>25571854.068280369</v>
      </c>
      <c r="D50" s="5">
        <f>IF('PART 2023'!G$5&lt;1,0,'COEF Art 14 F I'!$AF51*'PART 2023'!$G$5)</f>
        <v>5030675.27737216</v>
      </c>
      <c r="E50" s="5">
        <f>IF('PART 2023'!G$6&lt;1,0,'COEF Art 14 F I'!$AF51*'PART 2023'!$G$6)</f>
        <v>593925.11168502108</v>
      </c>
      <c r="F50" s="5">
        <f>IF('PART 2023'!G$7&lt;1,0,'COEF Art 14 F I'!$AF51*'PART 2023'!$G$7)</f>
        <v>1225858.8650393309</v>
      </c>
      <c r="G50" s="5">
        <f>IF('PART 2023'!G$8&lt;1,0,'COEF Art 14 F I'!$AF51*'PART 2023'!$G$8)</f>
        <v>2251449.7564165751</v>
      </c>
      <c r="H50" s="257">
        <f>IF('PART 2023'!G$9&lt;1,0,'COEF Art 14 F I'!$AF51*'PART 2023'!$G$9)</f>
        <v>61950.757874806484</v>
      </c>
    </row>
    <row r="51" spans="1:8" ht="12.75" customHeight="1">
      <c r="A51" s="248">
        <v>58</v>
      </c>
      <c r="B51" s="4" t="s">
        <v>141</v>
      </c>
      <c r="C51" s="5">
        <f>IF('PART 2023'!G$4&lt;1,0,'COEF Art 14 F I'!$AF52*'PART 2023'!$G$4)</f>
        <v>141018969.16445261</v>
      </c>
      <c r="D51" s="5">
        <f>IF('PART 2023'!G$5&lt;1,0,'COEF Art 14 F I'!$AF52*'PART 2023'!$G$5)</f>
        <v>27742245.044957161</v>
      </c>
      <c r="E51" s="5">
        <f>IF('PART 2023'!G$6&lt;1,0,'COEF Art 14 F I'!$AF52*'PART 2023'!$G$6)</f>
        <v>3275269.238869715</v>
      </c>
      <c r="F51" s="5">
        <f>IF('PART 2023'!G$7&lt;1,0,'COEF Art 14 F I'!$AF52*'PART 2023'!$G$7)</f>
        <v>6760141.5613966566</v>
      </c>
      <c r="G51" s="5">
        <f>IF('PART 2023'!G$8&lt;1,0,'COEF Art 14 F I'!$AF52*'PART 2023'!$G$8)</f>
        <v>12415882.04467546</v>
      </c>
      <c r="H51" s="257">
        <f>IF('PART 2023'!G$9&lt;1,0,'COEF Art 14 F I'!$AF52*'PART 2023'!$G$9)</f>
        <v>341634.67346305295</v>
      </c>
    </row>
    <row r="52" spans="1:8" ht="12.75" customHeight="1">
      <c r="A52" s="248">
        <v>31</v>
      </c>
      <c r="B52" s="4" t="s">
        <v>142</v>
      </c>
      <c r="C52" s="5">
        <f>IF('PART 2023'!G$4&lt;1,0,'COEF Art 14 F I'!$AF53*'PART 2023'!$G$4)</f>
        <v>304320278.72139573</v>
      </c>
      <c r="D52" s="5">
        <f>IF('PART 2023'!G$5&lt;1,0,'COEF Art 14 F I'!$AF53*'PART 2023'!$G$5)</f>
        <v>59868029.063474223</v>
      </c>
      <c r="E52" s="5">
        <f>IF('PART 2023'!G$6&lt;1,0,'COEF Art 14 F I'!$AF53*'PART 2023'!$G$6)</f>
        <v>7068062.2157866163</v>
      </c>
      <c r="F52" s="5">
        <f>IF('PART 2023'!G$7&lt;1,0,'COEF Art 14 F I'!$AF53*'PART 2023'!$G$7)</f>
        <v>14588449.882662334</v>
      </c>
      <c r="G52" s="5">
        <f>IF('PART 2023'!G$8&lt;1,0,'COEF Art 14 F I'!$AF53*'PART 2023'!$G$8)</f>
        <v>26793591.718865372</v>
      </c>
      <c r="H52" s="257">
        <f>IF('PART 2023'!G$9&lt;1,0,'COEF Art 14 F I'!$AF53*'PART 2023'!$G$9)</f>
        <v>737250.87954604509</v>
      </c>
    </row>
    <row r="53" spans="1:8" ht="12.75" customHeight="1">
      <c r="A53" s="248">
        <v>57</v>
      </c>
      <c r="B53" s="4" t="s">
        <v>31</v>
      </c>
      <c r="C53" s="5">
        <f>IF('PART 2023'!G$4&lt;1,0,'COEF Art 14 F I'!$AF54*'PART 2023'!$G$4)</f>
        <v>109504530.75922811</v>
      </c>
      <c r="D53" s="5">
        <f>IF('PART 2023'!G$5&lt;1,0,'COEF Art 14 F I'!$AF54*'PART 2023'!$G$5)</f>
        <v>21542502.713325288</v>
      </c>
      <c r="E53" s="5">
        <f>IF('PART 2023'!G$6&lt;1,0,'COEF Art 14 F I'!$AF54*'PART 2023'!$G$6)</f>
        <v>2543323.2368498328</v>
      </c>
      <c r="F53" s="5">
        <f>IF('PART 2023'!G$7&lt;1,0,'COEF Art 14 F I'!$AF54*'PART 2023'!$G$7)</f>
        <v>5249408.1748918304</v>
      </c>
      <c r="G53" s="5">
        <f>IF('PART 2023'!G$8&lt;1,0,'COEF Art 14 F I'!$AF54*'PART 2023'!$G$8)</f>
        <v>9641223.0589956138</v>
      </c>
      <c r="H53" s="257">
        <f>IF('PART 2023'!G$9&lt;1,0,'COEF Art 14 F I'!$AF54*'PART 2023'!$G$9)</f>
        <v>265287.32148812222</v>
      </c>
    </row>
    <row r="54" spans="1:8" ht="12.75" customHeight="1">
      <c r="A54" s="248">
        <v>56</v>
      </c>
      <c r="B54" s="4" t="s">
        <v>32</v>
      </c>
      <c r="C54" s="5">
        <f>IF('PART 2023'!G$4&lt;1,0,'COEF Art 14 F I'!$AF55*'PART 2023'!$G$4)</f>
        <v>35313218.111753263</v>
      </c>
      <c r="D54" s="5">
        <f>IF('PART 2023'!G$5&lt;1,0,'COEF Art 14 F I'!$AF55*'PART 2023'!$G$5)</f>
        <v>6947065.0366179859</v>
      </c>
      <c r="E54" s="5">
        <f>IF('PART 2023'!G$6&lt;1,0,'COEF Art 14 F I'!$AF55*'PART 2023'!$G$6)</f>
        <v>820175.45364441269</v>
      </c>
      <c r="F54" s="5">
        <f>IF('PART 2023'!G$7&lt;1,0,'COEF Art 14 F I'!$AF55*'PART 2023'!$G$7)</f>
        <v>1692838.5935479125</v>
      </c>
      <c r="G54" s="5">
        <f>IF('PART 2023'!G$8&lt;1,0,'COEF Art 14 F I'!$AF55*'PART 2023'!$G$8)</f>
        <v>3109118.9596069371</v>
      </c>
      <c r="H54" s="257">
        <f>IF('PART 2023'!G$9&lt;1,0,'COEF Art 14 F I'!$AF55*'PART 2023'!$G$9)</f>
        <v>85550.332767426618</v>
      </c>
    </row>
    <row r="55" spans="1:8" ht="12.75" customHeight="1">
      <c r="A55" s="248">
        <v>59</v>
      </c>
      <c r="B55" s="4" t="s">
        <v>33</v>
      </c>
      <c r="C55" s="5">
        <f>IF('PART 2023'!G$4&lt;1,0,'COEF Art 14 F I'!$AF56*'PART 2023'!$G$4)</f>
        <v>6519876.6668864815</v>
      </c>
      <c r="D55" s="5">
        <f>IF('PART 2023'!G$5&lt;1,0,'COEF Art 14 F I'!$AF56*'PART 2023'!$G$5)</f>
        <v>1282636.0682351214</v>
      </c>
      <c r="E55" s="5">
        <f>IF('PART 2023'!G$6&lt;1,0,'COEF Art 14 F I'!$AF56*'PART 2023'!$G$6)</f>
        <v>151428.92913487984</v>
      </c>
      <c r="F55" s="5">
        <f>IF('PART 2023'!G$7&lt;1,0,'COEF Art 14 F I'!$AF56*'PART 2023'!$G$7)</f>
        <v>312548.65563227999</v>
      </c>
      <c r="G55" s="5">
        <f>IF('PART 2023'!G$8&lt;1,0,'COEF Art 14 F I'!$AF56*'PART 2023'!$G$8)</f>
        <v>574036.38759756193</v>
      </c>
      <c r="H55" s="257">
        <f>IF('PART 2023'!G$9&lt;1,0,'COEF Art 14 F I'!$AF56*'PART 2023'!$G$9)</f>
        <v>15795.151172276599</v>
      </c>
    </row>
    <row r="56" spans="1:8" ht="12.75" customHeight="1">
      <c r="A56" s="248">
        <v>60</v>
      </c>
      <c r="B56" s="4" t="s">
        <v>34</v>
      </c>
      <c r="C56" s="5">
        <f>IF('PART 2023'!G$4&lt;1,0,'COEF Art 14 F I'!$AF57*'PART 2023'!$G$4)</f>
        <v>5597784.4408965455</v>
      </c>
      <c r="D56" s="5">
        <f>IF('PART 2023'!G$5&lt;1,0,'COEF Art 14 F I'!$AF57*'PART 2023'!$G$5)</f>
        <v>1101235.5897106256</v>
      </c>
      <c r="E56" s="5">
        <f>IF('PART 2023'!G$6&lt;1,0,'COEF Art 14 F I'!$AF57*'PART 2023'!$G$6)</f>
        <v>130012.65924523276</v>
      </c>
      <c r="F56" s="5">
        <f>IF('PART 2023'!G$7&lt;1,0,'COEF Art 14 F I'!$AF57*'PART 2023'!$G$7)</f>
        <v>268345.56708831247</v>
      </c>
      <c r="G56" s="5">
        <f>IF('PART 2023'!G$8&lt;1,0,'COEF Art 14 F I'!$AF57*'PART 2023'!$G$8)</f>
        <v>492851.64784207393</v>
      </c>
      <c r="H56" s="257">
        <f>IF('PART 2023'!G$9&lt;1,0,'COEF Art 14 F I'!$AF57*'PART 2023'!$G$9)</f>
        <v>13561.276691450372</v>
      </c>
    </row>
    <row r="57" spans="1:8" s="101" customFormat="1" ht="16.5" customHeight="1" thickBot="1">
      <c r="B57" s="6" t="s">
        <v>35</v>
      </c>
      <c r="C57" s="7">
        <f>SUM(C6:C56)</f>
        <v>2322014332.7299995</v>
      </c>
      <c r="D57" s="7">
        <f t="shared" ref="D57:H57" si="0">SUM(D6:D56)</f>
        <v>456803017.33999985</v>
      </c>
      <c r="E57" s="7">
        <f t="shared" si="0"/>
        <v>53930490.070000038</v>
      </c>
      <c r="F57" s="7">
        <f t="shared" si="0"/>
        <v>111312298.55000001</v>
      </c>
      <c r="G57" s="7">
        <f t="shared" si="0"/>
        <v>204439560.38000003</v>
      </c>
      <c r="H57" s="252">
        <f t="shared" si="0"/>
        <v>5625346.8100000024</v>
      </c>
    </row>
    <row r="58" spans="1:8" ht="13.5" thickTop="1">
      <c r="C58" s="102"/>
      <c r="G58" s="103"/>
    </row>
    <row r="59" spans="1:8">
      <c r="B59" s="168"/>
      <c r="C59" s="104"/>
    </row>
    <row r="60" spans="1:8">
      <c r="B60" s="168"/>
      <c r="C60" s="105"/>
    </row>
    <row r="64" spans="1:8">
      <c r="F64" s="106"/>
    </row>
  </sheetData>
  <mergeCells count="3">
    <mergeCell ref="B1:H1"/>
    <mergeCell ref="B3:B4"/>
    <mergeCell ref="C3:H3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85" orientation="portrait" horizontalDpi="300" verticalDpi="300" r:id="rId1"/>
  <headerFooter alignWithMargins="0"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2"/>
  <sheetViews>
    <sheetView showGridLines="0" workbookViewId="0"/>
  </sheetViews>
  <sheetFormatPr baseColWidth="10" defaultColWidth="9.7109375" defaultRowHeight="12.75"/>
  <cols>
    <col min="1" max="1" width="3" style="11" bestFit="1" customWidth="1"/>
    <col min="2" max="2" width="28.7109375" style="11" customWidth="1"/>
    <col min="3" max="3" width="12.42578125" style="11" customWidth="1"/>
    <col min="4" max="4" width="14.140625" style="50" customWidth="1"/>
    <col min="5" max="5" width="17.28515625" style="11" customWidth="1"/>
    <col min="6" max="6" width="15.7109375" style="50" customWidth="1"/>
    <col min="7" max="7" width="2" style="11" customWidth="1"/>
    <col min="8" max="8" width="16.140625" style="50" customWidth="1"/>
    <col min="9" max="9" width="2" style="50" customWidth="1"/>
    <col min="10" max="12" width="18.42578125" style="11" customWidth="1"/>
    <col min="13" max="13" width="15.7109375" style="11" customWidth="1"/>
    <col min="14" max="14" width="15.7109375" style="50" customWidth="1"/>
    <col min="15" max="16384" width="9.7109375" style="11"/>
  </cols>
  <sheetData>
    <row r="1" spans="1:14" s="61" customFormat="1" ht="51" customHeight="1">
      <c r="B1" s="303" t="s">
        <v>96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3" spans="1:14" ht="37.5" customHeight="1" thickBot="1">
      <c r="C3" s="305" t="s">
        <v>74</v>
      </c>
      <c r="D3" s="306"/>
      <c r="E3" s="307" t="s">
        <v>76</v>
      </c>
      <c r="F3" s="307"/>
      <c r="H3" s="75" t="s">
        <v>75</v>
      </c>
      <c r="I3" s="75"/>
    </row>
    <row r="4" spans="1:14" ht="39" customHeight="1" thickBot="1">
      <c r="B4" s="8" t="s">
        <v>0</v>
      </c>
      <c r="C4" s="8" t="s">
        <v>147</v>
      </c>
      <c r="D4" s="76" t="s">
        <v>62</v>
      </c>
      <c r="E4" s="53" t="s">
        <v>197</v>
      </c>
      <c r="F4" s="76" t="s">
        <v>63</v>
      </c>
      <c r="H4" s="76" t="s">
        <v>69</v>
      </c>
      <c r="I4" s="160"/>
      <c r="J4" s="83" t="s">
        <v>66</v>
      </c>
      <c r="K4" s="83" t="s">
        <v>67</v>
      </c>
      <c r="L4" s="83" t="s">
        <v>68</v>
      </c>
      <c r="M4" s="83" t="s">
        <v>210</v>
      </c>
      <c r="N4" s="85" t="s">
        <v>61</v>
      </c>
    </row>
    <row r="5" spans="1:14" s="14" customFormat="1" ht="11.25">
      <c r="B5" s="54"/>
      <c r="C5" s="20" t="s">
        <v>40</v>
      </c>
      <c r="D5" s="74" t="s">
        <v>49</v>
      </c>
      <c r="E5" s="55" t="s">
        <v>39</v>
      </c>
      <c r="F5" s="74" t="s">
        <v>50</v>
      </c>
      <c r="H5" s="65" t="s">
        <v>46</v>
      </c>
      <c r="I5" s="65"/>
      <c r="J5" s="13">
        <f>+M5*0.35</f>
        <v>86634085.789999992</v>
      </c>
      <c r="K5" s="13">
        <f>+M5*0.35</f>
        <v>86634085.789999992</v>
      </c>
      <c r="L5" s="13">
        <f>+M5*0.3</f>
        <v>74257787.819999993</v>
      </c>
      <c r="M5" s="13">
        <f>+'PART 2023'!E12</f>
        <v>247525959.40000001</v>
      </c>
      <c r="N5" s="86"/>
    </row>
    <row r="6" spans="1:14" s="16" customFormat="1" ht="23.25" customHeight="1" thickBot="1">
      <c r="B6" s="15"/>
      <c r="C6" s="15"/>
      <c r="D6" s="56"/>
      <c r="E6" s="57"/>
      <c r="F6" s="58"/>
      <c r="H6" s="18"/>
      <c r="I6" s="18"/>
      <c r="J6" s="13" t="s">
        <v>64</v>
      </c>
      <c r="K6" s="13" t="s">
        <v>45</v>
      </c>
      <c r="L6" s="13" t="s">
        <v>65</v>
      </c>
      <c r="M6" s="20" t="s">
        <v>77</v>
      </c>
      <c r="N6" s="87" t="s">
        <v>47</v>
      </c>
    </row>
    <row r="7" spans="1:14" ht="13.5" thickTop="1">
      <c r="A7" s="248">
        <v>15</v>
      </c>
      <c r="B7" s="2" t="s">
        <v>1</v>
      </c>
      <c r="C7" s="21">
        <v>2974</v>
      </c>
      <c r="D7" s="77">
        <f t="shared" ref="D7:D57" si="0">+C7/$C$58</f>
        <v>5.141377508841821E-4</v>
      </c>
      <c r="E7" s="27">
        <v>2931</v>
      </c>
      <c r="F7" s="77">
        <f t="shared" ref="F7:F58" si="1">(E7/E$58)</f>
        <v>5.0882254193228965E-4</v>
      </c>
      <c r="H7" s="88">
        <f>+'COEF Art 14 F I'!AF7</f>
        <v>7.091912640702254E-4</v>
      </c>
      <c r="I7" s="161"/>
      <c r="J7" s="27">
        <f t="shared" ref="J7:J38" si="2">+D7*J$5</f>
        <v>44541.854017977879</v>
      </c>
      <c r="K7" s="28">
        <f t="shared" ref="K7:K38" si="3">+F7*K$5</f>
        <v>44081.37574964785</v>
      </c>
      <c r="L7" s="28">
        <f t="shared" ref="L7:L38" si="4">+H7*L$5</f>
        <v>52662.974411124385</v>
      </c>
      <c r="M7" s="28">
        <f>SUM(J7:L7)</f>
        <v>141286.20417875011</v>
      </c>
      <c r="N7" s="89">
        <f>+M7/M$58</f>
        <v>5.7079348170683284E-4</v>
      </c>
    </row>
    <row r="8" spans="1:14">
      <c r="A8" s="248">
        <v>11</v>
      </c>
      <c r="B8" s="4" t="s">
        <v>2</v>
      </c>
      <c r="C8" s="30">
        <v>3382</v>
      </c>
      <c r="D8" s="78">
        <f t="shared" si="0"/>
        <v>5.8467177992276519E-4</v>
      </c>
      <c r="E8" s="36">
        <v>2601</v>
      </c>
      <c r="F8" s="78">
        <f t="shared" si="1"/>
        <v>4.5153443588054771E-4</v>
      </c>
      <c r="H8" s="90">
        <f>+'COEF Art 14 F I'!AF8</f>
        <v>1.2441896089953014E-3</v>
      </c>
      <c r="I8" s="161"/>
      <c r="J8" s="36">
        <f t="shared" si="2"/>
        <v>50652.505140820831</v>
      </c>
      <c r="K8" s="37">
        <f t="shared" si="3"/>
        <v>39118.273055214624</v>
      </c>
      <c r="L8" s="37">
        <f t="shared" si="4"/>
        <v>92390.767992621841</v>
      </c>
      <c r="M8" s="37">
        <f t="shared" ref="M8:M57" si="5">SUM(J8:L8)</f>
        <v>182161.54618865729</v>
      </c>
      <c r="N8" s="91">
        <f t="shared" ref="N8:N57" si="6">+M8/M$58</f>
        <v>7.3592905822974998E-4</v>
      </c>
    </row>
    <row r="9" spans="1:14">
      <c r="A9" s="248">
        <v>12</v>
      </c>
      <c r="B9" s="4" t="s">
        <v>143</v>
      </c>
      <c r="C9" s="30">
        <v>1407</v>
      </c>
      <c r="D9" s="78">
        <f t="shared" si="0"/>
        <v>2.4323867366981983E-4</v>
      </c>
      <c r="E9" s="36">
        <v>1572</v>
      </c>
      <c r="F9" s="78">
        <f t="shared" si="1"/>
        <v>2.7289970519193426E-4</v>
      </c>
      <c r="H9" s="90">
        <f>+'COEF Art 14 F I'!AF9</f>
        <v>1.5930061358846947E-3</v>
      </c>
      <c r="I9" s="161"/>
      <c r="J9" s="36">
        <f t="shared" si="2"/>
        <v>21072.760122156982</v>
      </c>
      <c r="K9" s="37">
        <f t="shared" si="3"/>
        <v>23642.416471663739</v>
      </c>
      <c r="L9" s="37">
        <f t="shared" si="4"/>
        <v>118293.11163448374</v>
      </c>
      <c r="M9" s="37">
        <f t="shared" si="5"/>
        <v>163008.28822830447</v>
      </c>
      <c r="N9" s="91">
        <f t="shared" si="6"/>
        <v>6.5855027336702253E-4</v>
      </c>
    </row>
    <row r="10" spans="1:14" ht="13.5" customHeight="1">
      <c r="A10" s="248">
        <v>13</v>
      </c>
      <c r="B10" s="4" t="s">
        <v>3</v>
      </c>
      <c r="C10" s="30">
        <v>35289</v>
      </c>
      <c r="D10" s="78">
        <f t="shared" si="0"/>
        <v>6.1006748792709828E-3</v>
      </c>
      <c r="E10" s="36">
        <v>39308</v>
      </c>
      <c r="F10" s="78">
        <f t="shared" si="1"/>
        <v>6.8238814323693074E-3</v>
      </c>
      <c r="H10" s="90">
        <f>+'COEF Art 14 F I'!AF10</f>
        <v>5.3170272277897135E-3</v>
      </c>
      <c r="I10" s="161"/>
      <c r="J10" s="36">
        <f t="shared" si="2"/>
        <v>528526.39086766017</v>
      </c>
      <c r="K10" s="37">
        <f t="shared" si="3"/>
        <v>591180.72943267063</v>
      </c>
      <c r="L10" s="37">
        <f t="shared" si="4"/>
        <v>394830.67971437133</v>
      </c>
      <c r="M10" s="37">
        <f t="shared" si="5"/>
        <v>1514537.8000147021</v>
      </c>
      <c r="N10" s="91">
        <f t="shared" si="6"/>
        <v>6.1187028774110164E-3</v>
      </c>
    </row>
    <row r="11" spans="1:14">
      <c r="A11" s="248">
        <v>14</v>
      </c>
      <c r="B11" s="4" t="s">
        <v>144</v>
      </c>
      <c r="C11" s="30">
        <v>18030</v>
      </c>
      <c r="D11" s="78">
        <f t="shared" si="0"/>
        <v>3.1169817244256232E-3</v>
      </c>
      <c r="E11" s="36">
        <v>20318</v>
      </c>
      <c r="F11" s="78">
        <f t="shared" si="1"/>
        <v>3.5272113295736133E-3</v>
      </c>
      <c r="H11" s="90">
        <f>+'COEF Art 14 F I'!AF11</f>
        <v>5.1255376840912224E-3</v>
      </c>
      <c r="I11" s="161"/>
      <c r="J11" s="36">
        <f t="shared" si="2"/>
        <v>270036.86211975157</v>
      </c>
      <c r="K11" s="37">
        <f t="shared" si="3"/>
        <v>305576.72892574035</v>
      </c>
      <c r="L11" s="37">
        <f t="shared" si="4"/>
        <v>380611.08980866015</v>
      </c>
      <c r="M11" s="37">
        <f t="shared" si="5"/>
        <v>956224.68085415196</v>
      </c>
      <c r="N11" s="91">
        <f t="shared" si="6"/>
        <v>3.8631288741270997E-3</v>
      </c>
    </row>
    <row r="12" spans="1:14">
      <c r="A12" s="248">
        <v>17</v>
      </c>
      <c r="B12" s="4" t="s">
        <v>4</v>
      </c>
      <c r="C12" s="30">
        <v>656464</v>
      </c>
      <c r="D12" s="78">
        <f t="shared" si="0"/>
        <v>0.11348786970290306</v>
      </c>
      <c r="E12" s="36">
        <v>685177</v>
      </c>
      <c r="F12" s="78">
        <f t="shared" si="1"/>
        <v>0.11894694739458901</v>
      </c>
      <c r="H12" s="90">
        <f>+'COEF Art 14 F I'!AF12</f>
        <v>7.9697485048117078E-2</v>
      </c>
      <c r="I12" s="161"/>
      <c r="J12" s="36">
        <f t="shared" si="2"/>
        <v>9831917.8399656452</v>
      </c>
      <c r="K12" s="37">
        <f t="shared" si="3"/>
        <v>10304860.04504144</v>
      </c>
      <c r="L12" s="37">
        <f t="shared" si="4"/>
        <v>5918158.9344907003</v>
      </c>
      <c r="M12" s="37">
        <f t="shared" si="5"/>
        <v>26054936.819497783</v>
      </c>
      <c r="N12" s="91">
        <f t="shared" si="6"/>
        <v>0.10526143149855735</v>
      </c>
    </row>
    <row r="13" spans="1:14">
      <c r="A13" s="248">
        <v>16</v>
      </c>
      <c r="B13" s="4" t="s">
        <v>5</v>
      </c>
      <c r="C13" s="30">
        <v>14992</v>
      </c>
      <c r="D13" s="78">
        <f t="shared" si="0"/>
        <v>2.5917798121236242E-3</v>
      </c>
      <c r="E13" s="36">
        <v>18290</v>
      </c>
      <c r="F13" s="78">
        <f t="shared" si="1"/>
        <v>3.1751498778374537E-3</v>
      </c>
      <c r="H13" s="90">
        <f>+'COEF Art 14 F I'!AF13</f>
        <v>4.6443525932259241E-3</v>
      </c>
      <c r="I13" s="161"/>
      <c r="J13" s="36">
        <f t="shared" si="2"/>
        <v>224536.47459230811</v>
      </c>
      <c r="K13" s="37">
        <f t="shared" si="3"/>
        <v>275076.20691267797</v>
      </c>
      <c r="L13" s="37">
        <f t="shared" si="4"/>
        <v>344879.34942903742</v>
      </c>
      <c r="M13" s="37">
        <f t="shared" si="5"/>
        <v>844492.03093402344</v>
      </c>
      <c r="N13" s="91">
        <f t="shared" si="6"/>
        <v>3.4117311694541546E-3</v>
      </c>
    </row>
    <row r="14" spans="1:14">
      <c r="A14" s="248">
        <v>18</v>
      </c>
      <c r="B14" s="4" t="s">
        <v>6</v>
      </c>
      <c r="C14" s="30">
        <v>3661</v>
      </c>
      <c r="D14" s="78">
        <f t="shared" si="0"/>
        <v>6.329046086035611E-4</v>
      </c>
      <c r="E14" s="36">
        <v>4505</v>
      </c>
      <c r="F14" s="78">
        <f t="shared" si="1"/>
        <v>7.8206944776696167E-4</v>
      </c>
      <c r="H14" s="90">
        <f>+'COEF Art 14 F I'!AF14</f>
        <v>1.6810196985090999E-3</v>
      </c>
      <c r="I14" s="161"/>
      <c r="J14" s="36">
        <f t="shared" si="2"/>
        <v>54831.11215864728</v>
      </c>
      <c r="K14" s="37">
        <f t="shared" si="3"/>
        <v>67753.871631580871</v>
      </c>
      <c r="L14" s="37">
        <f t="shared" si="4"/>
        <v>124828.8040931291</v>
      </c>
      <c r="M14" s="37">
        <f t="shared" si="5"/>
        <v>247413.78788335726</v>
      </c>
      <c r="N14" s="91">
        <f t="shared" si="6"/>
        <v>9.9954682928241317E-4</v>
      </c>
    </row>
    <row r="15" spans="1:14">
      <c r="A15" s="248">
        <v>19</v>
      </c>
      <c r="B15" s="4" t="s">
        <v>128</v>
      </c>
      <c r="C15" s="30">
        <v>122337</v>
      </c>
      <c r="D15" s="78">
        <f t="shared" si="0"/>
        <v>2.1149317427679282E-2</v>
      </c>
      <c r="E15" s="36">
        <v>107879</v>
      </c>
      <c r="F15" s="78">
        <f t="shared" si="1"/>
        <v>1.8727829068957171E-2</v>
      </c>
      <c r="H15" s="90">
        <f>+'COEF Art 14 F I'!AF15</f>
        <v>1.246003061623739E-2</v>
      </c>
      <c r="I15" s="161"/>
      <c r="J15" s="36">
        <f t="shared" si="2"/>
        <v>1832251.7804295088</v>
      </c>
      <c r="K15" s="37">
        <f t="shared" si="3"/>
        <v>1622468.3502204912</v>
      </c>
      <c r="L15" s="37">
        <f t="shared" si="4"/>
        <v>925254.30973125983</v>
      </c>
      <c r="M15" s="37">
        <f t="shared" si="5"/>
        <v>4379974.4403812597</v>
      </c>
      <c r="N15" s="91">
        <f t="shared" si="6"/>
        <v>1.7695010458693976E-2</v>
      </c>
    </row>
    <row r="16" spans="1:14">
      <c r="A16" s="248">
        <v>20</v>
      </c>
      <c r="B16" s="4" t="s">
        <v>129</v>
      </c>
      <c r="C16" s="30">
        <v>104478</v>
      </c>
      <c r="D16" s="78">
        <f t="shared" si="0"/>
        <v>1.8061897759541888E-2</v>
      </c>
      <c r="E16" s="36">
        <v>49869</v>
      </c>
      <c r="F16" s="78">
        <f t="shared" si="1"/>
        <v>8.6572744263464178E-3</v>
      </c>
      <c r="H16" s="90">
        <f>+'COEF Art 14 F I'!AF16</f>
        <v>9.8713523775840212E-3</v>
      </c>
      <c r="I16" s="161"/>
      <c r="J16" s="36">
        <f t="shared" si="2"/>
        <v>1564776.0000303607</v>
      </c>
      <c r="K16" s="37">
        <f t="shared" si="3"/>
        <v>750015.05535966856</v>
      </c>
      <c r="L16" s="37">
        <f t="shared" si="4"/>
        <v>733024.79035108665</v>
      </c>
      <c r="M16" s="37">
        <f t="shared" si="5"/>
        <v>3047815.845741116</v>
      </c>
      <c r="N16" s="91">
        <f t="shared" si="6"/>
        <v>1.2313115978336116E-2</v>
      </c>
    </row>
    <row r="17" spans="1:14">
      <c r="A17" s="248">
        <v>23</v>
      </c>
      <c r="B17" s="4" t="s">
        <v>130</v>
      </c>
      <c r="C17" s="30">
        <v>7340</v>
      </c>
      <c r="D17" s="78">
        <f t="shared" si="0"/>
        <v>1.2689210126058832E-3</v>
      </c>
      <c r="E17" s="36">
        <v>8402</v>
      </c>
      <c r="F17" s="78">
        <f t="shared" si="1"/>
        <v>1.4585899001416231E-3</v>
      </c>
      <c r="H17" s="90">
        <f>+'COEF Art 14 F I'!AF17</f>
        <v>3.5345083340763798E-3</v>
      </c>
      <c r="I17" s="161"/>
      <c r="J17" s="36">
        <f t="shared" si="2"/>
        <v>109931.81186683175</v>
      </c>
      <c r="K17" s="37">
        <f t="shared" si="3"/>
        <v>126363.60254129689</v>
      </c>
      <c r="L17" s="37">
        <f t="shared" si="4"/>
        <v>262464.76991986547</v>
      </c>
      <c r="M17" s="37">
        <f t="shared" si="5"/>
        <v>498760.18432799412</v>
      </c>
      <c r="N17" s="91">
        <f t="shared" si="6"/>
        <v>2.0149813196845413E-3</v>
      </c>
    </row>
    <row r="18" spans="1:14">
      <c r="A18" s="248">
        <v>21</v>
      </c>
      <c r="B18" s="4" t="s">
        <v>7</v>
      </c>
      <c r="C18" s="30">
        <v>9930</v>
      </c>
      <c r="D18" s="78">
        <f t="shared" si="0"/>
        <v>1.7166737949831634E-3</v>
      </c>
      <c r="E18" s="36">
        <v>12234</v>
      </c>
      <c r="F18" s="78">
        <f t="shared" si="1"/>
        <v>2.1238263316273051E-3</v>
      </c>
      <c r="H18" s="90">
        <f>+'COEF Art 14 F I'!AF18</f>
        <v>4.5385856104996278E-3</v>
      </c>
      <c r="I18" s="161"/>
      <c r="J18" s="36">
        <f t="shared" si="2"/>
        <v>148722.46482801624</v>
      </c>
      <c r="K18" s="37">
        <f t="shared" si="3"/>
        <v>183995.75261726094</v>
      </c>
      <c r="L18" s="37">
        <f t="shared" si="4"/>
        <v>337025.32726738648</v>
      </c>
      <c r="M18" s="37">
        <f t="shared" si="5"/>
        <v>669743.54471266363</v>
      </c>
      <c r="N18" s="91">
        <f t="shared" si="6"/>
        <v>2.7057507274635528E-3</v>
      </c>
    </row>
    <row r="19" spans="1:14">
      <c r="A19" s="248">
        <v>22</v>
      </c>
      <c r="B19" s="4" t="s">
        <v>131</v>
      </c>
      <c r="C19" s="30">
        <v>68747</v>
      </c>
      <c r="D19" s="78">
        <f t="shared" si="0"/>
        <v>1.1884811015479108E-2</v>
      </c>
      <c r="E19" s="36">
        <v>52995</v>
      </c>
      <c r="F19" s="78">
        <f t="shared" si="1"/>
        <v>9.199949030945646E-3</v>
      </c>
      <c r="H19" s="90">
        <f>+'COEF Art 14 F I'!AF19</f>
        <v>6.8661777976986287E-3</v>
      </c>
      <c r="I19" s="161"/>
      <c r="J19" s="36">
        <f t="shared" si="2"/>
        <v>1029629.7371129539</v>
      </c>
      <c r="K19" s="37">
        <f t="shared" si="3"/>
        <v>797029.17361057235</v>
      </c>
      <c r="L19" s="37">
        <f t="shared" si="4"/>
        <v>509867.17403589963</v>
      </c>
      <c r="M19" s="37">
        <f t="shared" si="5"/>
        <v>2336526.0847594258</v>
      </c>
      <c r="N19" s="91">
        <f t="shared" si="6"/>
        <v>9.4395193555582534E-3</v>
      </c>
    </row>
    <row r="20" spans="1:14">
      <c r="A20" s="248">
        <v>25</v>
      </c>
      <c r="B20" s="4" t="s">
        <v>8</v>
      </c>
      <c r="C20" s="30">
        <v>36088</v>
      </c>
      <c r="D20" s="78">
        <f t="shared" si="0"/>
        <v>6.2388040194715413E-3</v>
      </c>
      <c r="E20" s="36">
        <v>38728</v>
      </c>
      <c r="F20" s="78">
        <f t="shared" si="1"/>
        <v>6.723193245975337E-3</v>
      </c>
      <c r="H20" s="90">
        <f>+'COEF Art 14 F I'!AF20</f>
        <v>1.0324777742185987E-2</v>
      </c>
      <c r="I20" s="161"/>
      <c r="J20" s="36">
        <f t="shared" si="2"/>
        <v>540493.08264989429</v>
      </c>
      <c r="K20" s="37">
        <f t="shared" si="3"/>
        <v>582457.70045457582</v>
      </c>
      <c r="L20" s="37">
        <f t="shared" si="4"/>
        <v>766695.15486790554</v>
      </c>
      <c r="M20" s="37">
        <f t="shared" si="5"/>
        <v>1889645.9379723757</v>
      </c>
      <c r="N20" s="91">
        <f t="shared" si="6"/>
        <v>7.6341323655622038E-3</v>
      </c>
    </row>
    <row r="21" spans="1:14">
      <c r="A21" s="248">
        <v>27</v>
      </c>
      <c r="B21" s="4" t="s">
        <v>9</v>
      </c>
      <c r="C21" s="30">
        <v>1360</v>
      </c>
      <c r="D21" s="78">
        <f t="shared" si="0"/>
        <v>2.351134301286105E-4</v>
      </c>
      <c r="E21" s="36">
        <v>1910</v>
      </c>
      <c r="F21" s="78">
        <f t="shared" si="1"/>
        <v>3.3157661381462747E-4</v>
      </c>
      <c r="H21" s="90">
        <f>+'COEF Art 14 F I'!AF21</f>
        <v>1.4836008516257309E-3</v>
      </c>
      <c r="I21" s="161"/>
      <c r="J21" s="36">
        <f t="shared" si="2"/>
        <v>20368.837076143212</v>
      </c>
      <c r="K21" s="37">
        <f t="shared" si="3"/>
        <v>28725.836807174132</v>
      </c>
      <c r="L21" s="37">
        <f t="shared" si="4"/>
        <v>110168.91724959482</v>
      </c>
      <c r="M21" s="37">
        <f t="shared" si="5"/>
        <v>159263.59113291214</v>
      </c>
      <c r="N21" s="91">
        <f t="shared" si="6"/>
        <v>6.4342177086785255E-4</v>
      </c>
    </row>
    <row r="22" spans="1:14">
      <c r="A22" s="248">
        <v>26</v>
      </c>
      <c r="B22" s="4" t="s">
        <v>132</v>
      </c>
      <c r="C22" s="30">
        <v>3256</v>
      </c>
      <c r="D22" s="78">
        <f t="shared" si="0"/>
        <v>5.6288921213143808E-4</v>
      </c>
      <c r="E22" s="36">
        <v>3341</v>
      </c>
      <c r="F22" s="78">
        <f t="shared" si="1"/>
        <v>5.7999867369354472E-4</v>
      </c>
      <c r="H22" s="90">
        <f>+'COEF Art 14 F I'!AF22</f>
        <v>9.9519678968755239E-4</v>
      </c>
      <c r="I22" s="161"/>
      <c r="J22" s="36">
        <f t="shared" si="2"/>
        <v>48765.392294060512</v>
      </c>
      <c r="K22" s="37">
        <f t="shared" si="3"/>
        <v>50247.654854852764</v>
      </c>
      <c r="L22" s="37">
        <f t="shared" si="4"/>
        <v>73901.112047763425</v>
      </c>
      <c r="M22" s="37">
        <f t="shared" si="5"/>
        <v>172914.15919667669</v>
      </c>
      <c r="N22" s="91">
        <f t="shared" si="6"/>
        <v>6.9856979694500978E-4</v>
      </c>
    </row>
    <row r="23" spans="1:14">
      <c r="A23" s="248">
        <v>29</v>
      </c>
      <c r="B23" s="4" t="s">
        <v>10</v>
      </c>
      <c r="C23" s="30">
        <v>40903</v>
      </c>
      <c r="D23" s="78">
        <f t="shared" si="0"/>
        <v>7.0712092886401146E-3</v>
      </c>
      <c r="E23" s="36">
        <v>46047</v>
      </c>
      <c r="F23" s="78">
        <f t="shared" si="1"/>
        <v>7.9937739980744261E-3</v>
      </c>
      <c r="H23" s="90">
        <f>+'COEF Art 14 F I'!AF23</f>
        <v>9.6422976020216107E-3</v>
      </c>
      <c r="I23" s="161"/>
      <c r="J23" s="36">
        <f t="shared" si="2"/>
        <v>612607.75215109251</v>
      </c>
      <c r="K23" s="37">
        <f t="shared" si="3"/>
        <v>692533.302335051</v>
      </c>
      <c r="L23" s="37">
        <f t="shared" si="4"/>
        <v>716015.6894282155</v>
      </c>
      <c r="M23" s="37">
        <f t="shared" si="5"/>
        <v>2021156.7439143588</v>
      </c>
      <c r="N23" s="91">
        <f t="shared" si="6"/>
        <v>8.1654334309565722E-3</v>
      </c>
    </row>
    <row r="24" spans="1:14">
      <c r="A24" s="248">
        <v>30</v>
      </c>
      <c r="B24" s="4" t="s">
        <v>133</v>
      </c>
      <c r="C24" s="30">
        <v>397205</v>
      </c>
      <c r="D24" s="78">
        <f t="shared" si="0"/>
        <v>6.8667816186937305E-2</v>
      </c>
      <c r="E24" s="36">
        <v>316902</v>
      </c>
      <c r="F24" s="78">
        <f t="shared" si="1"/>
        <v>5.5014289042451876E-2</v>
      </c>
      <c r="H24" s="90">
        <f>+'COEF Art 14 F I'!AF24</f>
        <v>3.6731420766811185E-2</v>
      </c>
      <c r="I24" s="161"/>
      <c r="J24" s="36">
        <f t="shared" si="2"/>
        <v>5948973.4785510767</v>
      </c>
      <c r="K24" s="37">
        <f t="shared" si="3"/>
        <v>4766112.6365796328</v>
      </c>
      <c r="L24" s="37">
        <f t="shared" si="4"/>
        <v>2727594.0496290065</v>
      </c>
      <c r="M24" s="37">
        <f t="shared" si="5"/>
        <v>13442680.164759716</v>
      </c>
      <c r="N24" s="91">
        <f t="shared" si="6"/>
        <v>5.4308163060329581E-2</v>
      </c>
    </row>
    <row r="25" spans="1:14">
      <c r="A25" s="248">
        <v>32</v>
      </c>
      <c r="B25" s="4" t="s">
        <v>11</v>
      </c>
      <c r="C25" s="30">
        <v>5506</v>
      </c>
      <c r="D25" s="78">
        <f t="shared" si="0"/>
        <v>9.5186363697656574E-4</v>
      </c>
      <c r="E25" s="36">
        <v>6292</v>
      </c>
      <c r="F25" s="78">
        <f t="shared" si="1"/>
        <v>1.0922932220532127E-3</v>
      </c>
      <c r="H25" s="90">
        <f>+'COEF Art 14 F I'!AF25</f>
        <v>2.7415506614275283E-3</v>
      </c>
      <c r="I25" s="161"/>
      <c r="J25" s="36">
        <f t="shared" si="2"/>
        <v>82463.835986209204</v>
      </c>
      <c r="K25" s="37">
        <f t="shared" si="3"/>
        <v>94629.824707193533</v>
      </c>
      <c r="L25" s="37">
        <f t="shared" si="4"/>
        <v>203581.48731406603</v>
      </c>
      <c r="M25" s="37">
        <f t="shared" si="5"/>
        <v>380675.14800746879</v>
      </c>
      <c r="N25" s="91">
        <f t="shared" si="6"/>
        <v>1.5379200990886812E-3</v>
      </c>
    </row>
    <row r="26" spans="1:14">
      <c r="A26" s="248">
        <v>33</v>
      </c>
      <c r="B26" s="4" t="s">
        <v>12</v>
      </c>
      <c r="C26" s="30">
        <v>481213</v>
      </c>
      <c r="D26" s="78">
        <f t="shared" si="0"/>
        <v>8.3190911067999293E-2</v>
      </c>
      <c r="E26" s="36">
        <v>478712</v>
      </c>
      <c r="F26" s="78">
        <f t="shared" si="1"/>
        <v>8.3104557043156002E-2</v>
      </c>
      <c r="H26" s="90">
        <f>+'COEF Art 14 F I'!AF26</f>
        <v>5.3365969832242802E-2</v>
      </c>
      <c r="I26" s="161"/>
      <c r="J26" s="36">
        <f t="shared" si="2"/>
        <v>7207168.5264133103</v>
      </c>
      <c r="K26" s="37">
        <f t="shared" si="3"/>
        <v>7199687.324416725</v>
      </c>
      <c r="L26" s="37">
        <f t="shared" si="4"/>
        <v>3962838.8646112066</v>
      </c>
      <c r="M26" s="37">
        <f t="shared" si="5"/>
        <v>18369694.715441242</v>
      </c>
      <c r="N26" s="91">
        <f t="shared" si="6"/>
        <v>7.4213204788577194E-2</v>
      </c>
    </row>
    <row r="27" spans="1:14">
      <c r="A27" s="248">
        <v>34</v>
      </c>
      <c r="B27" s="4" t="s">
        <v>134</v>
      </c>
      <c r="C27" s="30">
        <v>14109</v>
      </c>
      <c r="D27" s="78">
        <f t="shared" si="0"/>
        <v>2.4391289600621804E-3</v>
      </c>
      <c r="E27" s="36">
        <v>16705</v>
      </c>
      <c r="F27" s="78">
        <f t="shared" si="1"/>
        <v>2.8999933684677238E-3</v>
      </c>
      <c r="H27" s="90">
        <f>+'COEF Art 14 F I'!AF27</f>
        <v>4.3267656355395851E-3</v>
      </c>
      <c r="I27" s="161"/>
      <c r="J27" s="36">
        <f t="shared" si="2"/>
        <v>211311.70757890039</v>
      </c>
      <c r="K27" s="37">
        <f t="shared" si="3"/>
        <v>251238.27427426385</v>
      </c>
      <c r="L27" s="37">
        <f t="shared" si="4"/>
        <v>321296.04451076593</v>
      </c>
      <c r="M27" s="37">
        <f t="shared" si="5"/>
        <v>783846.0263639302</v>
      </c>
      <c r="N27" s="91">
        <f t="shared" si="6"/>
        <v>3.1667225056473424E-3</v>
      </c>
    </row>
    <row r="28" spans="1:14">
      <c r="A28" s="248">
        <v>35</v>
      </c>
      <c r="B28" s="4" t="s">
        <v>13</v>
      </c>
      <c r="C28" s="30">
        <v>1808</v>
      </c>
      <c r="D28" s="78">
        <f t="shared" si="0"/>
        <v>3.1256256005332924E-4</v>
      </c>
      <c r="E28" s="36">
        <v>1209</v>
      </c>
      <c r="F28" s="78">
        <f t="shared" si="1"/>
        <v>2.0988278853501815E-4</v>
      </c>
      <c r="H28" s="90">
        <f>+'COEF Art 14 F I'!AF28</f>
        <v>8.754293836899309E-4</v>
      </c>
      <c r="I28" s="161"/>
      <c r="J28" s="36">
        <f t="shared" si="2"/>
        <v>27078.571642402148</v>
      </c>
      <c r="K28" s="37">
        <f t="shared" si="3"/>
        <v>18183.003507787187</v>
      </c>
      <c r="L28" s="37">
        <f t="shared" si="4"/>
        <v>65007.449425440253</v>
      </c>
      <c r="M28" s="37">
        <f t="shared" si="5"/>
        <v>110269.02457562959</v>
      </c>
      <c r="N28" s="91">
        <f t="shared" si="6"/>
        <v>4.4548468711290093E-4</v>
      </c>
    </row>
    <row r="29" spans="1:14">
      <c r="A29" s="248">
        <v>61</v>
      </c>
      <c r="B29" s="4" t="s">
        <v>14</v>
      </c>
      <c r="C29" s="30">
        <v>6282</v>
      </c>
      <c r="D29" s="78">
        <f t="shared" si="0"/>
        <v>1.0860165941675964E-3</v>
      </c>
      <c r="E29" s="36">
        <v>6750</v>
      </c>
      <c r="F29" s="78">
        <f t="shared" si="1"/>
        <v>1.1718021692401757E-3</v>
      </c>
      <c r="H29" s="90">
        <f>+'COEF Art 14 F I'!AF29</f>
        <v>2.5047231202144134E-3</v>
      </c>
      <c r="I29" s="161"/>
      <c r="J29" s="36">
        <f t="shared" si="2"/>
        <v>94086.054788479145</v>
      </c>
      <c r="K29" s="37">
        <f t="shared" si="3"/>
        <v>101518.00965886147</v>
      </c>
      <c r="L29" s="37">
        <f t="shared" si="4"/>
        <v>185995.19800873025</v>
      </c>
      <c r="M29" s="37">
        <f t="shared" si="5"/>
        <v>381599.26245607086</v>
      </c>
      <c r="N29" s="91">
        <f t="shared" si="6"/>
        <v>1.5416535032570444E-3</v>
      </c>
    </row>
    <row r="30" spans="1:14">
      <c r="A30" s="248">
        <v>36</v>
      </c>
      <c r="B30" s="4" t="s">
        <v>15</v>
      </c>
      <c r="C30" s="30">
        <v>102149</v>
      </c>
      <c r="D30" s="78">
        <f t="shared" si="0"/>
        <v>1.7659266010446643E-2</v>
      </c>
      <c r="E30" s="36">
        <v>96734</v>
      </c>
      <c r="F30" s="78">
        <f t="shared" si="1"/>
        <v>1.6793053487300615E-2</v>
      </c>
      <c r="H30" s="90">
        <f>+'COEF Art 14 F I'!AF30</f>
        <v>9.3655215024216407E-3</v>
      </c>
      <c r="I30" s="161"/>
      <c r="J30" s="36">
        <f t="shared" si="2"/>
        <v>1529894.3665374655</v>
      </c>
      <c r="K30" s="37">
        <f t="shared" si="3"/>
        <v>1454850.83649486</v>
      </c>
      <c r="L30" s="37">
        <f t="shared" si="4"/>
        <v>695462.90855047374</v>
      </c>
      <c r="M30" s="37">
        <f t="shared" si="5"/>
        <v>3680208.1115827993</v>
      </c>
      <c r="N30" s="91">
        <f t="shared" si="6"/>
        <v>1.4867968274938035E-2</v>
      </c>
    </row>
    <row r="31" spans="1:14">
      <c r="A31" s="248">
        <v>28</v>
      </c>
      <c r="B31" s="4" t="s">
        <v>16</v>
      </c>
      <c r="C31" s="30">
        <v>643143</v>
      </c>
      <c r="D31" s="78">
        <f t="shared" si="0"/>
        <v>0.11118496823029775</v>
      </c>
      <c r="E31" s="36">
        <v>721449</v>
      </c>
      <c r="F31" s="78">
        <f t="shared" si="1"/>
        <v>0.1252437782512823</v>
      </c>
      <c r="H31" s="90">
        <f>+'COEF Art 14 F I'!AF31</f>
        <v>9.2350515137755163E-2</v>
      </c>
      <c r="I31" s="161"/>
      <c r="J31" s="36">
        <f t="shared" si="2"/>
        <v>9632408.0762220379</v>
      </c>
      <c r="K31" s="37">
        <f t="shared" si="3"/>
        <v>10850380.229685325</v>
      </c>
      <c r="L31" s="37">
        <f t="shared" si="4"/>
        <v>6857744.9581671199</v>
      </c>
      <c r="M31" s="37">
        <f t="shared" si="5"/>
        <v>27340533.264074482</v>
      </c>
      <c r="N31" s="91">
        <f t="shared" si="6"/>
        <v>0.11045521580987956</v>
      </c>
    </row>
    <row r="32" spans="1:14">
      <c r="A32" s="248">
        <v>37</v>
      </c>
      <c r="B32" s="4" t="s">
        <v>135</v>
      </c>
      <c r="C32" s="30">
        <v>1959</v>
      </c>
      <c r="D32" s="78">
        <f t="shared" si="0"/>
        <v>3.3866706589849116E-4</v>
      </c>
      <c r="E32" s="36">
        <v>2049</v>
      </c>
      <c r="F32" s="78">
        <f t="shared" si="1"/>
        <v>3.5570705848490667E-4</v>
      </c>
      <c r="H32" s="90">
        <f>+'COEF Art 14 F I'!AF32</f>
        <v>9.0429104369840329E-4</v>
      </c>
      <c r="I32" s="161"/>
      <c r="J32" s="36">
        <f t="shared" si="2"/>
        <v>29340.111641297462</v>
      </c>
      <c r="K32" s="37">
        <f t="shared" si="3"/>
        <v>30816.355820889949</v>
      </c>
      <c r="L32" s="37">
        <f t="shared" si="4"/>
        <v>67150.652450482376</v>
      </c>
      <c r="M32" s="37">
        <f t="shared" si="5"/>
        <v>127307.11991266979</v>
      </c>
      <c r="N32" s="91">
        <f t="shared" si="6"/>
        <v>5.1431825664371034E-4</v>
      </c>
    </row>
    <row r="33" spans="1:14">
      <c r="A33" s="248">
        <v>39</v>
      </c>
      <c r="B33" s="4" t="s">
        <v>17</v>
      </c>
      <c r="C33" s="30">
        <v>16086</v>
      </c>
      <c r="D33" s="78">
        <f t="shared" si="0"/>
        <v>2.7809078213594327E-3</v>
      </c>
      <c r="E33" s="36">
        <v>16036</v>
      </c>
      <c r="F33" s="78">
        <f t="shared" si="1"/>
        <v>2.7838547534719195E-3</v>
      </c>
      <c r="H33" s="90">
        <f>+'COEF Art 14 F I'!AF33</f>
        <v>1.7314678448014274E-3</v>
      </c>
      <c r="I33" s="161"/>
      <c r="J33" s="36">
        <f t="shared" si="2"/>
        <v>240921.40676973507</v>
      </c>
      <c r="K33" s="37">
        <f t="shared" si="3"/>
        <v>241176.71153918555</v>
      </c>
      <c r="L33" s="37">
        <f t="shared" si="4"/>
        <v>128574.97183641707</v>
      </c>
      <c r="M33" s="37">
        <f t="shared" si="5"/>
        <v>610673.09014533774</v>
      </c>
      <c r="N33" s="91">
        <f t="shared" si="6"/>
        <v>2.467107254631402E-3</v>
      </c>
    </row>
    <row r="34" spans="1:14">
      <c r="A34" s="248">
        <v>38</v>
      </c>
      <c r="B34" s="4" t="s">
        <v>18</v>
      </c>
      <c r="C34" s="30">
        <v>1386</v>
      </c>
      <c r="D34" s="78">
        <f t="shared" si="0"/>
        <v>2.3960824570459864E-4</v>
      </c>
      <c r="E34" s="36">
        <v>1748</v>
      </c>
      <c r="F34" s="78">
        <f t="shared" si="1"/>
        <v>3.0345336175286326E-4</v>
      </c>
      <c r="H34" s="90">
        <f>+'COEF Art 14 F I'!AF34</f>
        <v>1.27473113144274E-3</v>
      </c>
      <c r="I34" s="161"/>
      <c r="J34" s="36">
        <f t="shared" si="2"/>
        <v>20758.241314363597</v>
      </c>
      <c r="K34" s="37">
        <f t="shared" si="3"/>
        <v>26289.404575361459</v>
      </c>
      <c r="L34" s="37">
        <f t="shared" si="4"/>
        <v>94658.713886223515</v>
      </c>
      <c r="M34" s="37">
        <f t="shared" si="5"/>
        <v>141706.35977594857</v>
      </c>
      <c r="N34" s="91">
        <f t="shared" si="6"/>
        <v>5.7249090204293377E-4</v>
      </c>
    </row>
    <row r="35" spans="1:14">
      <c r="A35" s="248">
        <v>40</v>
      </c>
      <c r="B35" s="4" t="s">
        <v>19</v>
      </c>
      <c r="C35" s="30">
        <v>7026</v>
      </c>
      <c r="D35" s="78">
        <f t="shared" si="0"/>
        <v>1.2146374706497186E-3</v>
      </c>
      <c r="E35" s="36">
        <v>7933</v>
      </c>
      <c r="F35" s="78">
        <f t="shared" si="1"/>
        <v>1.3771713494196021E-3</v>
      </c>
      <c r="H35" s="90">
        <f>+'COEF Art 14 F I'!AF35</f>
        <v>1.5112982189291841E-3</v>
      </c>
      <c r="I35" s="161"/>
      <c r="J35" s="36">
        <f t="shared" si="2"/>
        <v>105229.00683601631</v>
      </c>
      <c r="K35" s="37">
        <f t="shared" si="3"/>
        <v>119309.98083314787</v>
      </c>
      <c r="L35" s="37">
        <f t="shared" si="4"/>
        <v>112225.66247398725</v>
      </c>
      <c r="M35" s="37">
        <f t="shared" si="5"/>
        <v>336764.65014315146</v>
      </c>
      <c r="N35" s="91">
        <f t="shared" si="6"/>
        <v>1.3605225527030178E-3</v>
      </c>
    </row>
    <row r="36" spans="1:14">
      <c r="A36" s="248">
        <v>41</v>
      </c>
      <c r="B36" s="4" t="s">
        <v>20</v>
      </c>
      <c r="C36" s="30">
        <v>3298</v>
      </c>
      <c r="D36" s="78">
        <f t="shared" si="0"/>
        <v>5.7015006806188052E-4</v>
      </c>
      <c r="E36" s="36">
        <v>4074</v>
      </c>
      <c r="F36" s="78">
        <f t="shared" si="1"/>
        <v>7.0724770925695941E-4</v>
      </c>
      <c r="H36" s="90">
        <f>+'COEF Art 14 F I'!AF36</f>
        <v>1.59218517099653E-3</v>
      </c>
      <c r="I36" s="161"/>
      <c r="J36" s="36">
        <f t="shared" si="2"/>
        <v>49394.42990964729</v>
      </c>
      <c r="K36" s="37">
        <f t="shared" si="3"/>
        <v>61271.758718548394</v>
      </c>
      <c r="L36" s="37">
        <f t="shared" si="4"/>
        <v>118232.14859801072</v>
      </c>
      <c r="M36" s="37">
        <f t="shared" si="5"/>
        <v>228898.33722620641</v>
      </c>
      <c r="N36" s="91">
        <f t="shared" si="6"/>
        <v>9.2474477336055303E-4</v>
      </c>
    </row>
    <row r="37" spans="1:14">
      <c r="A37" s="248">
        <v>42</v>
      </c>
      <c r="B37" s="4" t="s">
        <v>136</v>
      </c>
      <c r="C37" s="30">
        <v>471523</v>
      </c>
      <c r="D37" s="78">
        <f t="shared" si="0"/>
        <v>8.1515727878332944E-2</v>
      </c>
      <c r="E37" s="36">
        <v>414934</v>
      </c>
      <c r="F37" s="78">
        <f t="shared" si="1"/>
        <v>7.2032675746889346E-2</v>
      </c>
      <c r="H37" s="90">
        <f>+'COEF Art 14 F I'!AF37</f>
        <v>4.5972942114415431E-2</v>
      </c>
      <c r="I37" s="161"/>
      <c r="J37" s="36">
        <f t="shared" si="2"/>
        <v>7062040.5622457899</v>
      </c>
      <c r="K37" s="37">
        <f t="shared" si="3"/>
        <v>6240485.0103392629</v>
      </c>
      <c r="L37" s="37">
        <f t="shared" si="4"/>
        <v>3413848.9809934031</v>
      </c>
      <c r="M37" s="37">
        <f t="shared" si="5"/>
        <v>16716374.553578457</v>
      </c>
      <c r="N37" s="91">
        <f t="shared" si="6"/>
        <v>6.7533823903152435E-2</v>
      </c>
    </row>
    <row r="38" spans="1:14">
      <c r="A38" s="248">
        <v>43</v>
      </c>
      <c r="B38" s="4" t="s">
        <v>21</v>
      </c>
      <c r="C38" s="30">
        <v>5351</v>
      </c>
      <c r="D38" s="78">
        <f t="shared" si="0"/>
        <v>9.2506762104279034E-4</v>
      </c>
      <c r="E38" s="36">
        <v>5936</v>
      </c>
      <c r="F38" s="78">
        <f t="shared" si="1"/>
        <v>1.030491507645879E-3</v>
      </c>
      <c r="H38" s="90">
        <f>+'COEF Art 14 F I'!AF38</f>
        <v>3.9987960604773685E-3</v>
      </c>
      <c r="I38" s="161"/>
      <c r="J38" s="36">
        <f t="shared" si="2"/>
        <v>80142.387642972302</v>
      </c>
      <c r="K38" s="37">
        <f t="shared" si="3"/>
        <v>89275.689679259522</v>
      </c>
      <c r="L38" s="37">
        <f t="shared" si="4"/>
        <v>296941.74939438031</v>
      </c>
      <c r="M38" s="37">
        <f t="shared" si="5"/>
        <v>466359.82671661215</v>
      </c>
      <c r="N38" s="91">
        <f t="shared" si="6"/>
        <v>1.8840845131842452E-3</v>
      </c>
    </row>
    <row r="39" spans="1:14">
      <c r="A39" s="248">
        <v>44</v>
      </c>
      <c r="B39" s="4" t="s">
        <v>22</v>
      </c>
      <c r="C39" s="30">
        <v>84666</v>
      </c>
      <c r="D39" s="78">
        <f t="shared" si="0"/>
        <v>1.4636848290638924E-2</v>
      </c>
      <c r="E39" s="36">
        <v>90832</v>
      </c>
      <c r="F39" s="78">
        <f t="shared" si="1"/>
        <v>1.5768464390581279E-2</v>
      </c>
      <c r="H39" s="90">
        <f>+'COEF Art 14 F I'!AF39</f>
        <v>1.0255714095069986E-2</v>
      </c>
      <c r="I39" s="161"/>
      <c r="J39" s="36">
        <f t="shared" ref="J39:J57" si="7">+D39*J$5</f>
        <v>1268049.9705064273</v>
      </c>
      <c r="K39" s="37">
        <f t="shared" ref="K39:K57" si="8">+F39*K$5</f>
        <v>1366086.4967901784</v>
      </c>
      <c r="L39" s="37">
        <f t="shared" ref="L39:L57" si="9">+H39*L$5</f>
        <v>761566.64121429028</v>
      </c>
      <c r="M39" s="37">
        <f t="shared" si="5"/>
        <v>3395703.1085108961</v>
      </c>
      <c r="N39" s="91">
        <f t="shared" si="6"/>
        <v>1.3718573666948069E-2</v>
      </c>
    </row>
    <row r="40" spans="1:14">
      <c r="A40" s="248">
        <v>46</v>
      </c>
      <c r="B40" s="4" t="s">
        <v>137</v>
      </c>
      <c r="C40" s="30">
        <v>5119</v>
      </c>
      <c r="D40" s="78">
        <f t="shared" si="0"/>
        <v>8.8496003590320376E-4</v>
      </c>
      <c r="E40" s="36">
        <v>6302</v>
      </c>
      <c r="F40" s="78">
        <f t="shared" si="1"/>
        <v>1.0940292252669018E-3</v>
      </c>
      <c r="H40" s="90">
        <f>+'COEF Art 14 F I'!AF40</f>
        <v>2.0402418310943209E-3</v>
      </c>
      <c r="I40" s="161"/>
      <c r="J40" s="36">
        <f t="shared" si="7"/>
        <v>76667.70367115963</v>
      </c>
      <c r="K40" s="37">
        <f t="shared" si="8"/>
        <v>94780.221758539992</v>
      </c>
      <c r="L40" s="37">
        <f t="shared" si="9"/>
        <v>151503.84499489036</v>
      </c>
      <c r="M40" s="37">
        <f t="shared" si="5"/>
        <v>322951.77042458998</v>
      </c>
      <c r="N40" s="91">
        <f t="shared" si="6"/>
        <v>1.3047187907378334E-3</v>
      </c>
    </row>
    <row r="41" spans="1:14">
      <c r="A41" s="248">
        <v>49</v>
      </c>
      <c r="B41" s="4" t="s">
        <v>23</v>
      </c>
      <c r="C41" s="30">
        <v>1483</v>
      </c>
      <c r="D41" s="78">
        <f t="shared" si="0"/>
        <v>2.5637736535347747E-4</v>
      </c>
      <c r="E41" s="36">
        <v>1107</v>
      </c>
      <c r="F41" s="78">
        <f t="shared" si="1"/>
        <v>1.9217555575538881E-4</v>
      </c>
      <c r="H41" s="90">
        <f>+'COEF Art 14 F I'!AF41</f>
        <v>3.5005221580519457E-4</v>
      </c>
      <c r="I41" s="161"/>
      <c r="J41" s="36">
        <f t="shared" si="7"/>
        <v>22211.018664647338</v>
      </c>
      <c r="K41" s="37">
        <f t="shared" si="8"/>
        <v>16648.953584053281</v>
      </c>
      <c r="L41" s="37">
        <f t="shared" si="9"/>
        <v>25994.103167182988</v>
      </c>
      <c r="M41" s="37">
        <f t="shared" si="5"/>
        <v>64854.075415883606</v>
      </c>
      <c r="N41" s="91">
        <f t="shared" si="6"/>
        <v>2.620091871296616E-4</v>
      </c>
    </row>
    <row r="42" spans="1:14">
      <c r="A42" s="248">
        <v>48</v>
      </c>
      <c r="B42" s="4" t="s">
        <v>24</v>
      </c>
      <c r="C42" s="30">
        <v>7652</v>
      </c>
      <c r="D42" s="78">
        <f t="shared" si="0"/>
        <v>1.322858799517741E-3</v>
      </c>
      <c r="E42" s="36">
        <v>7732</v>
      </c>
      <c r="F42" s="78">
        <f t="shared" si="1"/>
        <v>1.3422776848244502E-3</v>
      </c>
      <c r="H42" s="90">
        <f>+'COEF Art 14 F I'!AF42</f>
        <v>2.7550909441141557E-3</v>
      </c>
      <c r="I42" s="161"/>
      <c r="J42" s="36">
        <f t="shared" si="7"/>
        <v>114604.66272547637</v>
      </c>
      <c r="K42" s="37">
        <f t="shared" si="8"/>
        <v>116287.00010108399</v>
      </c>
      <c r="L42" s="37">
        <f t="shared" si="9"/>
        <v>204586.95875283243</v>
      </c>
      <c r="M42" s="37">
        <f t="shared" si="5"/>
        <v>435478.62157939281</v>
      </c>
      <c r="N42" s="91">
        <f t="shared" si="6"/>
        <v>1.759325052754014E-3</v>
      </c>
    </row>
    <row r="43" spans="1:14">
      <c r="A43" s="248">
        <v>47</v>
      </c>
      <c r="B43" s="4" t="s">
        <v>25</v>
      </c>
      <c r="C43" s="30">
        <v>6048</v>
      </c>
      <c r="D43" s="78">
        <f t="shared" si="0"/>
        <v>1.0455632539837032E-3</v>
      </c>
      <c r="E43" s="36">
        <v>5977</v>
      </c>
      <c r="F43" s="78">
        <f t="shared" si="1"/>
        <v>1.0376091208220044E-3</v>
      </c>
      <c r="H43" s="90">
        <f>+'COEF Art 14 F I'!AF43</f>
        <v>3.5726096299117625E-3</v>
      </c>
      <c r="I43" s="161"/>
      <c r="J43" s="36">
        <f t="shared" si="7"/>
        <v>90581.416644495694</v>
      </c>
      <c r="K43" s="37">
        <f t="shared" si="8"/>
        <v>89892.317589779996</v>
      </c>
      <c r="L43" s="37">
        <f t="shared" si="9"/>
        <v>265294.08786167635</v>
      </c>
      <c r="M43" s="37">
        <f t="shared" si="5"/>
        <v>445767.82209595205</v>
      </c>
      <c r="N43" s="91">
        <f t="shared" si="6"/>
        <v>1.8008932201555266E-3</v>
      </c>
    </row>
    <row r="44" spans="1:14">
      <c r="A44" s="248">
        <v>45</v>
      </c>
      <c r="B44" s="4" t="s">
        <v>26</v>
      </c>
      <c r="C44" s="30">
        <v>67428</v>
      </c>
      <c r="D44" s="78">
        <f t="shared" si="0"/>
        <v>1.1656785563758786E-2</v>
      </c>
      <c r="E44" s="36">
        <v>69413</v>
      </c>
      <c r="F44" s="78">
        <f t="shared" si="1"/>
        <v>1.2050119107180492E-2</v>
      </c>
      <c r="H44" s="90">
        <f>+'COEF Art 14 F I'!AF44</f>
        <v>7.6270558464784982E-3</v>
      </c>
      <c r="I44" s="161"/>
      <c r="J44" s="36">
        <f t="shared" si="7"/>
        <v>1009874.9605663121</v>
      </c>
      <c r="K44" s="37">
        <f t="shared" si="8"/>
        <v>1043951.0525111929</v>
      </c>
      <c r="L44" s="37">
        <f t="shared" si="9"/>
        <v>566368.29473909072</v>
      </c>
      <c r="M44" s="37">
        <f t="shared" si="5"/>
        <v>2620194.3078165958</v>
      </c>
      <c r="N44" s="91">
        <f t="shared" si="6"/>
        <v>1.0585533388772298E-2</v>
      </c>
    </row>
    <row r="45" spans="1:14">
      <c r="A45" s="248">
        <v>70</v>
      </c>
      <c r="B45" s="4" t="s">
        <v>27</v>
      </c>
      <c r="C45" s="30">
        <v>1142994</v>
      </c>
      <c r="D45" s="78">
        <f t="shared" si="0"/>
        <v>0.19759797055619194</v>
      </c>
      <c r="E45" s="36">
        <v>1149605</v>
      </c>
      <c r="F45" s="78">
        <f t="shared" si="1"/>
        <v>0.19957179744731143</v>
      </c>
      <c r="H45" s="90">
        <f>+'COEF Art 14 F I'!AF45</f>
        <v>0.26041974529118772</v>
      </c>
      <c r="I45" s="161"/>
      <c r="J45" s="36">
        <f t="shared" si="7"/>
        <v>17118719.533095025</v>
      </c>
      <c r="K45" s="37">
        <f t="shared" si="8"/>
        <v>17289720.221314881</v>
      </c>
      <c r="L45" s="37">
        <f t="shared" si="9"/>
        <v>19338194.189971462</v>
      </c>
      <c r="M45" s="37">
        <f t="shared" si="5"/>
        <v>53746633.944381371</v>
      </c>
      <c r="N45" s="91">
        <f t="shared" si="6"/>
        <v>0.21713534238858254</v>
      </c>
    </row>
    <row r="46" spans="1:14">
      <c r="A46" s="248">
        <v>50</v>
      </c>
      <c r="B46" s="4" t="s">
        <v>138</v>
      </c>
      <c r="C46" s="30">
        <v>906</v>
      </c>
      <c r="D46" s="78">
        <f t="shared" si="0"/>
        <v>1.5662703507097141E-4</v>
      </c>
      <c r="E46" s="36">
        <v>1103</v>
      </c>
      <c r="F46" s="78">
        <f t="shared" si="1"/>
        <v>1.9148115446991314E-4</v>
      </c>
      <c r="H46" s="90">
        <f>+'COEF Art 14 F I'!AF46</f>
        <v>1.8050269407981526E-3</v>
      </c>
      <c r="I46" s="161"/>
      <c r="J46" s="36">
        <f t="shared" si="7"/>
        <v>13569.239993371875</v>
      </c>
      <c r="K46" s="37">
        <f t="shared" si="8"/>
        <v>16588.794763514696</v>
      </c>
      <c r="L46" s="37">
        <f t="shared" si="9"/>
        <v>134037.30757917292</v>
      </c>
      <c r="M46" s="37">
        <f t="shared" si="5"/>
        <v>164195.34233605949</v>
      </c>
      <c r="N46" s="91">
        <f t="shared" si="6"/>
        <v>6.6334594857875556E-4</v>
      </c>
    </row>
    <row r="47" spans="1:14">
      <c r="A47" s="248">
        <v>51</v>
      </c>
      <c r="B47" s="4" t="s">
        <v>139</v>
      </c>
      <c r="C47" s="30">
        <v>147624</v>
      </c>
      <c r="D47" s="78">
        <f t="shared" si="0"/>
        <v>2.5520871330372057E-2</v>
      </c>
      <c r="E47" s="36">
        <v>118875</v>
      </c>
      <c r="F47" s="78">
        <f t="shared" si="1"/>
        <v>2.0636738202729762E-2</v>
      </c>
      <c r="H47" s="90">
        <f>+'COEF Art 14 F I'!AF47</f>
        <v>1.3182181571604418E-2</v>
      </c>
      <c r="I47" s="161"/>
      <c r="J47" s="36">
        <f t="shared" si="7"/>
        <v>2210977.3562710038</v>
      </c>
      <c r="K47" s="37">
        <f t="shared" si="8"/>
        <v>1787844.9478810604</v>
      </c>
      <c r="L47" s="37">
        <f t="shared" si="9"/>
        <v>978879.64214891486</v>
      </c>
      <c r="M47" s="37">
        <f t="shared" si="5"/>
        <v>4977701.9463009788</v>
      </c>
      <c r="N47" s="91">
        <f t="shared" si="6"/>
        <v>2.0109817808066963E-2</v>
      </c>
    </row>
    <row r="48" spans="1:14">
      <c r="A48" s="248">
        <v>52</v>
      </c>
      <c r="B48" s="4" t="s">
        <v>140</v>
      </c>
      <c r="C48" s="30">
        <v>5389</v>
      </c>
      <c r="D48" s="78">
        <f t="shared" si="0"/>
        <v>9.3163696688461914E-4</v>
      </c>
      <c r="E48" s="36">
        <v>5274</v>
      </c>
      <c r="F48" s="78">
        <f t="shared" si="1"/>
        <v>9.1556809489965732E-4</v>
      </c>
      <c r="H48" s="90">
        <f>+'COEF Art 14 F I'!AF48</f>
        <v>2.0424418278495718E-3</v>
      </c>
      <c r="I48" s="161"/>
      <c r="J48" s="36">
        <f t="shared" si="7"/>
        <v>80711.516914217471</v>
      </c>
      <c r="K48" s="37">
        <f t="shared" si="8"/>
        <v>79319.404880123766</v>
      </c>
      <c r="L48" s="37">
        <f t="shared" si="9"/>
        <v>151667.21188714646</v>
      </c>
      <c r="M48" s="37">
        <f t="shared" si="5"/>
        <v>311698.1336814877</v>
      </c>
      <c r="N48" s="91">
        <f t="shared" si="6"/>
        <v>1.2592543199793685E-3</v>
      </c>
    </row>
    <row r="49" spans="1:14">
      <c r="A49" s="248">
        <v>53</v>
      </c>
      <c r="B49" s="4" t="s">
        <v>28</v>
      </c>
      <c r="C49" s="30">
        <v>2377</v>
      </c>
      <c r="D49" s="78">
        <f t="shared" si="0"/>
        <v>4.1092987015860824E-4</v>
      </c>
      <c r="E49" s="36">
        <v>3079</v>
      </c>
      <c r="F49" s="78">
        <f t="shared" si="1"/>
        <v>5.3451538949488898E-4</v>
      </c>
      <c r="H49" s="90">
        <f>+'COEF Art 14 F I'!AF49</f>
        <v>1.8596387880508534E-3</v>
      </c>
      <c r="I49" s="161"/>
      <c r="J49" s="36">
        <f t="shared" si="7"/>
        <v>35600.533624994423</v>
      </c>
      <c r="K49" s="37">
        <f t="shared" si="8"/>
        <v>46307.252109575471</v>
      </c>
      <c r="L49" s="37">
        <f t="shared" si="9"/>
        <v>138092.6625449222</v>
      </c>
      <c r="M49" s="37">
        <f t="shared" si="5"/>
        <v>220000.44827949209</v>
      </c>
      <c r="N49" s="91">
        <f t="shared" si="6"/>
        <v>8.8879747729398014E-4</v>
      </c>
    </row>
    <row r="50" spans="1:14">
      <c r="A50" s="248">
        <v>54</v>
      </c>
      <c r="B50" s="4" t="s">
        <v>29</v>
      </c>
      <c r="C50" s="30">
        <v>34709</v>
      </c>
      <c r="D50" s="78">
        <f t="shared" si="0"/>
        <v>6.0004059164220159E-3</v>
      </c>
      <c r="E50" s="36">
        <v>39980</v>
      </c>
      <c r="F50" s="78">
        <f t="shared" si="1"/>
        <v>6.9405408483292188E-3</v>
      </c>
      <c r="H50" s="90">
        <f>+'COEF Art 14 F I'!AF50</f>
        <v>4.7255240576429408E-3</v>
      </c>
      <c r="I50" s="161"/>
      <c r="J50" s="36">
        <f t="shared" si="7"/>
        <v>519839.68093812844</v>
      </c>
      <c r="K50" s="37">
        <f t="shared" si="8"/>
        <v>601287.41128315288</v>
      </c>
      <c r="L50" s="37">
        <f t="shared" si="9"/>
        <v>350906.96281075489</v>
      </c>
      <c r="M50" s="37">
        <f t="shared" si="5"/>
        <v>1472034.0550320363</v>
      </c>
      <c r="N50" s="91">
        <f t="shared" si="6"/>
        <v>5.946988584955815E-3</v>
      </c>
    </row>
    <row r="51" spans="1:14">
      <c r="A51" s="248">
        <v>55</v>
      </c>
      <c r="B51" s="4" t="s">
        <v>30</v>
      </c>
      <c r="C51" s="30">
        <v>86766</v>
      </c>
      <c r="D51" s="78">
        <f t="shared" si="0"/>
        <v>1.4999891087161044E-2</v>
      </c>
      <c r="E51" s="36">
        <v>64394</v>
      </c>
      <c r="F51" s="78">
        <f t="shared" si="1"/>
        <v>1.1178819094229906E-2</v>
      </c>
      <c r="H51" s="90">
        <f>+'COEF Art 14 F I'!AF51</f>
        <v>1.1012789071898389E-2</v>
      </c>
      <c r="I51" s="161"/>
      <c r="J51" s="36">
        <f t="shared" si="7"/>
        <v>1299501.8512857661</v>
      </c>
      <c r="K51" s="37">
        <f t="shared" si="8"/>
        <v>968466.7724404037</v>
      </c>
      <c r="L51" s="37">
        <f t="shared" si="9"/>
        <v>817785.35420744517</v>
      </c>
      <c r="M51" s="37">
        <f t="shared" si="5"/>
        <v>3085753.9779336145</v>
      </c>
      <c r="N51" s="91">
        <f t="shared" si="6"/>
        <v>1.2466385285056348E-2</v>
      </c>
    </row>
    <row r="52" spans="1:14">
      <c r="A52" s="248">
        <v>58</v>
      </c>
      <c r="B52" s="4" t="s">
        <v>141</v>
      </c>
      <c r="C52" s="30">
        <v>412199</v>
      </c>
      <c r="D52" s="78">
        <f t="shared" si="0"/>
        <v>7.125994175410523E-2</v>
      </c>
      <c r="E52" s="36">
        <v>479050</v>
      </c>
      <c r="F52" s="78">
        <f t="shared" si="1"/>
        <v>8.3163233951778687E-2</v>
      </c>
      <c r="H52" s="90">
        <f>+'COEF Art 14 F I'!AF52</f>
        <v>6.0731308664514642E-2</v>
      </c>
      <c r="I52" s="161"/>
      <c r="J52" s="36">
        <f t="shared" si="7"/>
        <v>6173539.907315555</v>
      </c>
      <c r="K52" s="37">
        <f t="shared" si="8"/>
        <v>7204770.7447522348</v>
      </c>
      <c r="L52" s="37">
        <f t="shared" si="9"/>
        <v>4509772.6328404555</v>
      </c>
      <c r="M52" s="37">
        <f t="shared" si="5"/>
        <v>17888083.284908246</v>
      </c>
      <c r="N52" s="91">
        <f t="shared" si="6"/>
        <v>7.2267504096413776E-2</v>
      </c>
    </row>
    <row r="53" spans="1:14">
      <c r="A53" s="248">
        <v>31</v>
      </c>
      <c r="B53" s="4" t="s">
        <v>142</v>
      </c>
      <c r="C53" s="30">
        <v>132169</v>
      </c>
      <c r="D53" s="78">
        <f t="shared" si="0"/>
        <v>2.2849049225491413E-2</v>
      </c>
      <c r="E53" s="36">
        <v>140470</v>
      </c>
      <c r="F53" s="78">
        <f t="shared" si="1"/>
        <v>2.4385637142691478E-2</v>
      </c>
      <c r="H53" s="90">
        <f>+'COEF Art 14 F I'!AF53</f>
        <v>0.13105874258907155</v>
      </c>
      <c r="I53" s="161"/>
      <c r="J53" s="36">
        <f t="shared" si="7"/>
        <v>1979506.490821156</v>
      </c>
      <c r="K53" s="37">
        <f t="shared" si="8"/>
        <v>2112627.3802637439</v>
      </c>
      <c r="L53" s="37">
        <f t="shared" si="9"/>
        <v>9732132.2991352715</v>
      </c>
      <c r="M53" s="37">
        <f t="shared" si="5"/>
        <v>13824266.17022017</v>
      </c>
      <c r="N53" s="91">
        <f t="shared" si="6"/>
        <v>5.584976300558548E-2</v>
      </c>
    </row>
    <row r="54" spans="1:14">
      <c r="A54" s="248">
        <v>57</v>
      </c>
      <c r="B54" s="4" t="s">
        <v>31</v>
      </c>
      <c r="C54" s="30">
        <v>306322</v>
      </c>
      <c r="D54" s="78">
        <f t="shared" si="0"/>
        <v>5.2956188341070756E-2</v>
      </c>
      <c r="E54" s="36">
        <v>328847</v>
      </c>
      <c r="F54" s="78">
        <f t="shared" si="1"/>
        <v>5.7087944881203563E-2</v>
      </c>
      <c r="H54" s="90">
        <f>+'COEF Art 14 F I'!AF54</f>
        <v>4.7159282875951627E-2</v>
      </c>
      <c r="I54" s="161"/>
      <c r="J54" s="36">
        <f t="shared" si="7"/>
        <v>4587810.963851721</v>
      </c>
      <c r="K54" s="37">
        <f t="shared" si="8"/>
        <v>4945761.91441298</v>
      </c>
      <c r="L54" s="37">
        <f t="shared" si="9"/>
        <v>3501944.0215457748</v>
      </c>
      <c r="M54" s="37">
        <f t="shared" si="5"/>
        <v>13035516.899810476</v>
      </c>
      <c r="N54" s="91">
        <f t="shared" si="6"/>
        <v>5.2663231490581504E-2</v>
      </c>
    </row>
    <row r="55" spans="1:14">
      <c r="A55" s="248">
        <v>56</v>
      </c>
      <c r="B55" s="4" t="s">
        <v>32</v>
      </c>
      <c r="C55" s="30">
        <v>46784</v>
      </c>
      <c r="D55" s="78">
        <f t="shared" si="0"/>
        <v>8.0879019964242016E-3</v>
      </c>
      <c r="E55" s="36">
        <v>48083</v>
      </c>
      <c r="F55" s="78">
        <f t="shared" si="1"/>
        <v>8.3472242523815361E-3</v>
      </c>
      <c r="H55" s="90">
        <f>+'COEF Art 14 F I'!AF55</f>
        <v>1.5208010395971762E-2</v>
      </c>
      <c r="I55" s="161"/>
      <c r="J55" s="36">
        <f t="shared" si="7"/>
        <v>700687.99541932647</v>
      </c>
      <c r="K55" s="37">
        <f t="shared" si="8"/>
        <v>723154.1419891906</v>
      </c>
      <c r="L55" s="37">
        <f t="shared" si="9"/>
        <v>1129313.2091484251</v>
      </c>
      <c r="M55" s="37">
        <f t="shared" si="5"/>
        <v>2553155.346556942</v>
      </c>
      <c r="N55" s="91">
        <f t="shared" si="6"/>
        <v>1.0314697305873538E-2</v>
      </c>
    </row>
    <row r="56" spans="1:14">
      <c r="A56" s="248">
        <v>59</v>
      </c>
      <c r="B56" s="4" t="s">
        <v>33</v>
      </c>
      <c r="C56" s="30">
        <v>1552</v>
      </c>
      <c r="D56" s="78">
        <f t="shared" si="0"/>
        <v>2.6830591438206137E-4</v>
      </c>
      <c r="E56" s="36">
        <v>1988</v>
      </c>
      <c r="F56" s="78">
        <f t="shared" si="1"/>
        <v>3.4511743888140288E-4</v>
      </c>
      <c r="H56" s="90">
        <f>+'COEF Art 14 F I'!AF56</f>
        <v>2.8078537565360512E-3</v>
      </c>
      <c r="I56" s="161"/>
      <c r="J56" s="36">
        <f t="shared" si="7"/>
        <v>23244.437604539897</v>
      </c>
      <c r="K56" s="37">
        <f t="shared" si="8"/>
        <v>29898.933807676534</v>
      </c>
      <c r="L56" s="37">
        <f t="shared" si="9"/>
        <v>208505.00848244401</v>
      </c>
      <c r="M56" s="37">
        <f t="shared" si="5"/>
        <v>261648.37989466044</v>
      </c>
      <c r="N56" s="91">
        <f t="shared" si="6"/>
        <v>1.0570543006030279E-3</v>
      </c>
    </row>
    <row r="57" spans="1:14">
      <c r="A57" s="248">
        <v>60</v>
      </c>
      <c r="B57" s="4" t="s">
        <v>34</v>
      </c>
      <c r="C57" s="30">
        <v>3573</v>
      </c>
      <c r="D57" s="78">
        <f t="shared" si="0"/>
        <v>6.1769138665406279E-4</v>
      </c>
      <c r="E57" s="36">
        <v>4677</v>
      </c>
      <c r="F57" s="78">
        <f t="shared" si="1"/>
        <v>8.1192870304241504E-4</v>
      </c>
      <c r="H57" s="90">
        <f>+'COEF Art 14 F I'!AF57</f>
        <v>2.4107449992848292E-3</v>
      </c>
      <c r="I57" s="161"/>
      <c r="J57" s="36">
        <f t="shared" si="7"/>
        <v>53513.128583132129</v>
      </c>
      <c r="K57" s="37">
        <f t="shared" si="8"/>
        <v>70340.700914740009</v>
      </c>
      <c r="L57" s="37">
        <f t="shared" si="9"/>
        <v>179016.59064501888</v>
      </c>
      <c r="M57" s="37">
        <f t="shared" si="5"/>
        <v>302870.420142891</v>
      </c>
      <c r="N57" s="91">
        <f t="shared" si="6"/>
        <v>1.2235905311792162E-3</v>
      </c>
    </row>
    <row r="58" spans="1:14" ht="13.5" thickBot="1">
      <c r="B58" s="6" t="s">
        <v>35</v>
      </c>
      <c r="C58" s="39">
        <f>SUM(C7:C57)</f>
        <v>5784442</v>
      </c>
      <c r="D58" s="79">
        <f>SUM(D7:D57)</f>
        <v>1.0000000000000002</v>
      </c>
      <c r="E58" s="45">
        <f>SUM(E7:E57)</f>
        <v>5760358</v>
      </c>
      <c r="F58" s="79">
        <f t="shared" si="1"/>
        <v>1</v>
      </c>
      <c r="H58" s="92">
        <f t="shared" ref="H58:N58" si="10">SUM(H7:H57)</f>
        <v>0.99999999999999989</v>
      </c>
      <c r="I58" s="162"/>
      <c r="J58" s="45">
        <f t="shared" si="10"/>
        <v>86634085.790000007</v>
      </c>
      <c r="K58" s="46">
        <f t="shared" si="10"/>
        <v>86634085.789999962</v>
      </c>
      <c r="L58" s="46">
        <f t="shared" si="10"/>
        <v>74257787.819999978</v>
      </c>
      <c r="M58" s="46">
        <f t="shared" si="10"/>
        <v>247525959.39999995</v>
      </c>
      <c r="N58" s="93">
        <f t="shared" si="10"/>
        <v>1.0000000000000002</v>
      </c>
    </row>
    <row r="59" spans="1:14" ht="13.5" thickTop="1"/>
    <row r="60" spans="1:14" ht="15.75" customHeight="1">
      <c r="B60" s="11" t="s">
        <v>55</v>
      </c>
    </row>
    <row r="61" spans="1:14">
      <c r="B61" s="11" t="s">
        <v>148</v>
      </c>
    </row>
    <row r="62" spans="1:14">
      <c r="B62" s="11" t="s">
        <v>149</v>
      </c>
    </row>
  </sheetData>
  <mergeCells count="3">
    <mergeCell ref="B1:N1"/>
    <mergeCell ref="C3:D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C63"/>
  <sheetViews>
    <sheetView showGridLines="0" workbookViewId="0"/>
  </sheetViews>
  <sheetFormatPr baseColWidth="10" defaultColWidth="11.42578125" defaultRowHeight="12.75"/>
  <cols>
    <col min="1" max="1" width="3" style="108" bestFit="1" customWidth="1"/>
    <col min="2" max="2" width="28.28515625" style="108" bestFit="1" customWidth="1"/>
    <col min="3" max="3" width="17.28515625" style="108" customWidth="1"/>
    <col min="4" max="4" width="16.85546875" style="108" customWidth="1"/>
    <col min="5" max="5" width="14.42578125" style="108" customWidth="1"/>
    <col min="6" max="6" width="21.140625" style="108" customWidth="1"/>
    <col min="7" max="7" width="17" style="108" customWidth="1"/>
    <col min="8" max="8" width="17.42578125" style="108" customWidth="1"/>
    <col min="9" max="9" width="15.42578125" style="108" customWidth="1"/>
    <col min="10" max="10" width="15" style="108" customWidth="1"/>
    <col min="11" max="11" width="21.42578125" style="108" customWidth="1"/>
    <col min="12" max="12" width="5.28515625" style="108" customWidth="1"/>
    <col min="13" max="13" width="28.140625" style="108" customWidth="1"/>
    <col min="14" max="18" width="18.85546875" style="108" customWidth="1"/>
    <col min="19" max="19" width="0.28515625" style="108" customWidth="1"/>
    <col min="20" max="20" width="11.42578125" style="108" customWidth="1"/>
    <col min="21" max="21" width="21.28515625" style="108" customWidth="1"/>
    <col min="22" max="22" width="16.7109375" style="108" bestFit="1" customWidth="1"/>
    <col min="23" max="24" width="15.28515625" style="108" bestFit="1" customWidth="1"/>
    <col min="25" max="25" width="14.28515625" style="108" bestFit="1" customWidth="1"/>
    <col min="26" max="26" width="13.28515625" style="108" bestFit="1" customWidth="1"/>
    <col min="27" max="27" width="12.5703125" style="108" bestFit="1" customWidth="1"/>
    <col min="28" max="28" width="14.28515625" style="108" bestFit="1" customWidth="1"/>
    <col min="29" max="16384" width="11.42578125" style="108"/>
  </cols>
  <sheetData>
    <row r="1" spans="1:29" ht="38.25" customHeight="1" thickBot="1">
      <c r="B1" s="143"/>
      <c r="C1" s="308" t="s">
        <v>125</v>
      </c>
      <c r="D1" s="308"/>
      <c r="E1" s="308"/>
      <c r="F1" s="308"/>
      <c r="G1" s="308" t="s">
        <v>124</v>
      </c>
      <c r="H1" s="308"/>
      <c r="I1" s="308"/>
      <c r="J1" s="308"/>
      <c r="K1" s="152" t="s">
        <v>123</v>
      </c>
      <c r="M1" s="309" t="s">
        <v>122</v>
      </c>
      <c r="N1" s="309"/>
      <c r="O1" s="309"/>
      <c r="P1" s="309"/>
      <c r="Q1" s="309"/>
      <c r="R1" s="309"/>
    </row>
    <row r="2" spans="1:29" ht="68.25" customHeight="1" thickTop="1" thickBot="1">
      <c r="B2" s="151" t="s">
        <v>0</v>
      </c>
      <c r="C2" s="150" t="s">
        <v>200</v>
      </c>
      <c r="D2" s="149" t="s">
        <v>199</v>
      </c>
      <c r="E2" s="149" t="s">
        <v>121</v>
      </c>
      <c r="F2" s="148" t="s">
        <v>120</v>
      </c>
      <c r="G2" s="149" t="s">
        <v>190</v>
      </c>
      <c r="H2" s="149" t="s">
        <v>119</v>
      </c>
      <c r="I2" s="149" t="s">
        <v>118</v>
      </c>
      <c r="J2" s="146" t="s">
        <v>117</v>
      </c>
      <c r="K2" s="147" t="s">
        <v>116</v>
      </c>
      <c r="M2" s="151" t="s">
        <v>0</v>
      </c>
      <c r="N2" s="150" t="s">
        <v>115</v>
      </c>
      <c r="O2" s="149" t="s">
        <v>114</v>
      </c>
      <c r="P2" s="148" t="s">
        <v>113</v>
      </c>
      <c r="Q2" s="147" t="s">
        <v>210</v>
      </c>
      <c r="R2" s="146" t="s">
        <v>61</v>
      </c>
    </row>
    <row r="3" spans="1:29" ht="21" customHeight="1" thickTop="1">
      <c r="B3" s="143"/>
      <c r="C3" s="145" t="s">
        <v>112</v>
      </c>
      <c r="D3" s="145" t="s">
        <v>111</v>
      </c>
      <c r="E3" s="145" t="s">
        <v>110</v>
      </c>
      <c r="F3" s="145" t="s">
        <v>109</v>
      </c>
      <c r="G3" s="145" t="s">
        <v>108</v>
      </c>
      <c r="H3" s="145" t="s">
        <v>107</v>
      </c>
      <c r="I3" s="145"/>
      <c r="J3" s="145" t="s">
        <v>106</v>
      </c>
      <c r="K3" s="145" t="s">
        <v>105</v>
      </c>
      <c r="N3" s="222">
        <f>N4*Q3</f>
        <v>207194945.44499999</v>
      </c>
      <c r="O3" s="222">
        <f>Q3*O4</f>
        <v>124316967.26699999</v>
      </c>
      <c r="P3" s="222">
        <f>Q3*P4</f>
        <v>82877978.178000003</v>
      </c>
      <c r="Q3" s="222">
        <f>+'PART 2023'!E11</f>
        <v>414389890.88999999</v>
      </c>
      <c r="R3" s="223"/>
    </row>
    <row r="4" spans="1:29" ht="13.5" thickBot="1">
      <c r="G4" s="144"/>
      <c r="H4" s="143"/>
      <c r="I4" s="143"/>
      <c r="J4" s="143"/>
      <c r="N4" s="224">
        <v>0.5</v>
      </c>
      <c r="O4" s="224">
        <v>0.3</v>
      </c>
      <c r="P4" s="224">
        <v>0.2</v>
      </c>
      <c r="Q4" s="225" t="s">
        <v>104</v>
      </c>
      <c r="R4" s="225"/>
    </row>
    <row r="5" spans="1:29" ht="13.5" thickTop="1">
      <c r="A5" s="248">
        <v>15</v>
      </c>
      <c r="B5" s="170" t="s">
        <v>1</v>
      </c>
      <c r="C5" s="137">
        <v>748778</v>
      </c>
      <c r="D5" s="136">
        <f>+VLOOKUP(A5,'COEF Art 14 F I'!A$7:D$57,4,)</f>
        <v>215240.1</v>
      </c>
      <c r="E5" s="142">
        <f t="shared" ref="E5:E36" si="0">IFERROR(D5/C5,0)</f>
        <v>0.28745516027447388</v>
      </c>
      <c r="F5" s="141">
        <f t="shared" ref="F5:F36" si="1">IFERROR(E5/$E$56,0)</f>
        <v>1.7803396844044014E-2</v>
      </c>
      <c r="G5" s="136">
        <v>200922.61</v>
      </c>
      <c r="H5" s="158">
        <f t="shared" ref="H5:H36" si="2">IFERROR((D5/G5)-1,0)</f>
        <v>7.1258729915961272E-2</v>
      </c>
      <c r="I5" s="140">
        <f t="shared" ref="I5:I36" si="3">IF(H5&lt;0,0,H5)</f>
        <v>7.1258729915961272E-2</v>
      </c>
      <c r="J5" s="133">
        <f t="shared" ref="J5:J36" si="4">IFERROR(I5/$I$56,0)</f>
        <v>7.3407925922110507E-3</v>
      </c>
      <c r="K5" s="139">
        <f t="shared" ref="K5:K36" si="5">IFERROR(D5/$D$56,0)</f>
        <v>7.4263950242771002E-5</v>
      </c>
      <c r="M5" s="138" t="s">
        <v>1</v>
      </c>
      <c r="N5" s="137">
        <f t="shared" ref="N5:N36" si="6">IFERROR($N$3*F5,0)</f>
        <v>3688773.8378373845</v>
      </c>
      <c r="O5" s="136">
        <f t="shared" ref="O5:O36" si="7">IFERROR($O$3*J5,0)</f>
        <v>912585.0723997372</v>
      </c>
      <c r="P5" s="135">
        <f t="shared" ref="P5:P36" si="8">IFERROR($P$3*K5,0)</f>
        <v>6154.8460476324535</v>
      </c>
      <c r="Q5" s="134">
        <f t="shared" ref="Q5:Q36" si="9">IFERROR(SUM(N5:P5),0)</f>
        <v>4607513.7562847538</v>
      </c>
      <c r="R5" s="133">
        <f t="shared" ref="R5:R36" si="10">IFERROR(Q5/$Q$56,0)</f>
        <v>1.1118788989733877E-2</v>
      </c>
      <c r="T5" s="109"/>
      <c r="AC5" s="109"/>
    </row>
    <row r="6" spans="1:29">
      <c r="A6" s="248">
        <v>11</v>
      </c>
      <c r="B6" s="171" t="s">
        <v>2</v>
      </c>
      <c r="C6" s="127">
        <v>2700030</v>
      </c>
      <c r="D6" s="126">
        <f>+VLOOKUP(A6,'COEF Art 14 F I'!A$7:D$57,4,)</f>
        <v>825718</v>
      </c>
      <c r="E6" s="132">
        <f t="shared" si="0"/>
        <v>0.30581808350277589</v>
      </c>
      <c r="F6" s="131">
        <f t="shared" si="1"/>
        <v>1.894069564618768E-2</v>
      </c>
      <c r="G6" s="126">
        <v>996274</v>
      </c>
      <c r="H6" s="159">
        <f t="shared" si="2"/>
        <v>-0.17119386835348505</v>
      </c>
      <c r="I6" s="130">
        <f t="shared" si="3"/>
        <v>0</v>
      </c>
      <c r="J6" s="123">
        <f t="shared" si="4"/>
        <v>0</v>
      </c>
      <c r="K6" s="129">
        <f t="shared" si="5"/>
        <v>2.8489617160817329E-4</v>
      </c>
      <c r="M6" s="128" t="s">
        <v>2</v>
      </c>
      <c r="N6" s="127">
        <f t="shared" si="6"/>
        <v>3924416.4011022053</v>
      </c>
      <c r="O6" s="126">
        <f t="shared" si="7"/>
        <v>0</v>
      </c>
      <c r="P6" s="125">
        <f t="shared" si="8"/>
        <v>23611.61869353793</v>
      </c>
      <c r="Q6" s="124">
        <f t="shared" si="9"/>
        <v>3948028.0197957433</v>
      </c>
      <c r="R6" s="123">
        <f t="shared" si="10"/>
        <v>9.5273270574154755E-3</v>
      </c>
      <c r="T6" s="109"/>
      <c r="U6" s="109"/>
      <c r="V6" s="109"/>
      <c r="W6" s="109"/>
      <c r="X6" s="109"/>
      <c r="Y6" s="109"/>
      <c r="Z6" s="109"/>
    </row>
    <row r="7" spans="1:29">
      <c r="A7" s="248">
        <v>12</v>
      </c>
      <c r="B7" s="171" t="s">
        <v>143</v>
      </c>
      <c r="C7" s="127">
        <v>1233500</v>
      </c>
      <c r="D7" s="126">
        <f>+VLOOKUP(A7,'COEF Art 14 F I'!A$7:D$57,4,)</f>
        <v>291226</v>
      </c>
      <c r="E7" s="132">
        <f t="shared" si="0"/>
        <v>0.23609728415079043</v>
      </c>
      <c r="F7" s="131">
        <f t="shared" si="1"/>
        <v>1.4622571532631494E-2</v>
      </c>
      <c r="G7" s="126">
        <v>288767</v>
      </c>
      <c r="H7" s="159">
        <f t="shared" si="2"/>
        <v>8.5155159696226335E-3</v>
      </c>
      <c r="I7" s="130">
        <f t="shared" si="3"/>
        <v>8.5155159696226335E-3</v>
      </c>
      <c r="J7" s="123">
        <f t="shared" si="4"/>
        <v>8.7723478403814415E-4</v>
      </c>
      <c r="K7" s="129">
        <f t="shared" si="5"/>
        <v>1.0048124477456211E-4</v>
      </c>
      <c r="M7" s="128" t="s">
        <v>143</v>
      </c>
      <c r="N7" s="127">
        <f t="shared" si="6"/>
        <v>3029722.9109691922</v>
      </c>
      <c r="O7" s="126">
        <f t="shared" si="7"/>
        <v>109055.16793274377</v>
      </c>
      <c r="P7" s="125">
        <f t="shared" si="8"/>
        <v>8327.682411724436</v>
      </c>
      <c r="Q7" s="124">
        <f t="shared" si="9"/>
        <v>3147105.7613136601</v>
      </c>
      <c r="R7" s="123">
        <f t="shared" si="10"/>
        <v>7.5945524504821022E-3</v>
      </c>
      <c r="T7" s="109"/>
      <c r="U7" s="109"/>
      <c r="V7" s="109"/>
      <c r="W7" s="109"/>
      <c r="X7" s="109"/>
      <c r="Y7" s="109"/>
      <c r="Z7" s="109"/>
    </row>
    <row r="8" spans="1:29">
      <c r="A8" s="248">
        <v>13</v>
      </c>
      <c r="B8" s="171" t="s">
        <v>3</v>
      </c>
      <c r="C8" s="127">
        <v>58299346</v>
      </c>
      <c r="D8" s="126">
        <f>+VLOOKUP(A8,'COEF Art 14 F I'!A$7:D$57,4,)</f>
        <v>25827964</v>
      </c>
      <c r="E8" s="132">
        <f t="shared" si="0"/>
        <v>0.44302322019186974</v>
      </c>
      <c r="F8" s="131">
        <f t="shared" si="1"/>
        <v>2.7438429676026749E-2</v>
      </c>
      <c r="G8" s="126">
        <v>25832482</v>
      </c>
      <c r="H8" s="159">
        <f t="shared" si="2"/>
        <v>-1.7489608625298469E-4</v>
      </c>
      <c r="I8" s="130">
        <f t="shared" si="3"/>
        <v>0</v>
      </c>
      <c r="J8" s="123">
        <f t="shared" si="4"/>
        <v>0</v>
      </c>
      <c r="K8" s="129">
        <f t="shared" si="5"/>
        <v>8.9113814450377995E-3</v>
      </c>
      <c r="M8" s="128" t="s">
        <v>3</v>
      </c>
      <c r="N8" s="127">
        <f t="shared" si="6"/>
        <v>5685103.9398208307</v>
      </c>
      <c r="O8" s="126">
        <f t="shared" si="7"/>
        <v>0</v>
      </c>
      <c r="P8" s="125">
        <f t="shared" si="8"/>
        <v>738557.27693767683</v>
      </c>
      <c r="Q8" s="124">
        <f t="shared" si="9"/>
        <v>6423661.2167585073</v>
      </c>
      <c r="R8" s="123">
        <f t="shared" si="10"/>
        <v>1.5501491127020935E-2</v>
      </c>
      <c r="T8" s="109"/>
      <c r="U8" s="109"/>
      <c r="V8" s="109"/>
      <c r="W8" s="109"/>
      <c r="X8" s="109"/>
      <c r="Y8" s="109"/>
      <c r="Z8" s="109"/>
    </row>
    <row r="9" spans="1:29">
      <c r="A9" s="248">
        <v>14</v>
      </c>
      <c r="B9" s="171" t="s">
        <v>144</v>
      </c>
      <c r="C9" s="127">
        <v>11856377</v>
      </c>
      <c r="D9" s="126">
        <f>+VLOOKUP(A9,'COEF Art 14 F I'!A$7:D$57,4,)</f>
        <v>2729196</v>
      </c>
      <c r="E9" s="132">
        <f t="shared" si="0"/>
        <v>0.23018802455421247</v>
      </c>
      <c r="F9" s="131">
        <f t="shared" si="1"/>
        <v>1.4256584386838394E-2</v>
      </c>
      <c r="G9" s="126">
        <v>1947895</v>
      </c>
      <c r="H9" s="159">
        <f t="shared" si="2"/>
        <v>0.4011001619697161</v>
      </c>
      <c r="I9" s="130">
        <f t="shared" si="3"/>
        <v>0.4011001619697161</v>
      </c>
      <c r="J9" s="123">
        <f t="shared" si="4"/>
        <v>4.1319752698292606E-2</v>
      </c>
      <c r="K9" s="129">
        <f t="shared" si="5"/>
        <v>9.4165016624118655E-4</v>
      </c>
      <c r="M9" s="128" t="s">
        <v>144</v>
      </c>
      <c r="N9" s="127">
        <f t="shared" si="6"/>
        <v>2953892.2242630199</v>
      </c>
      <c r="O9" s="126">
        <f t="shared" si="7"/>
        <v>5136746.3436741764</v>
      </c>
      <c r="P9" s="125">
        <f t="shared" si="8"/>
        <v>78042.061929047137</v>
      </c>
      <c r="Q9" s="124">
        <f t="shared" si="9"/>
        <v>8168680.6298662433</v>
      </c>
      <c r="R9" s="123">
        <f t="shared" si="10"/>
        <v>1.9712548036155218E-2</v>
      </c>
      <c r="T9" s="109"/>
      <c r="U9" s="109"/>
      <c r="V9" s="109"/>
      <c r="W9" s="109"/>
      <c r="X9" s="109"/>
      <c r="Y9" s="109"/>
      <c r="Z9" s="109"/>
    </row>
    <row r="10" spans="1:29">
      <c r="A10" s="248">
        <v>17</v>
      </c>
      <c r="B10" s="171" t="s">
        <v>4</v>
      </c>
      <c r="C10" s="127">
        <v>697064760</v>
      </c>
      <c r="D10" s="126">
        <f>+VLOOKUP(A10,'COEF Art 14 F I'!A$7:D$57,4,)</f>
        <v>369978125.35000002</v>
      </c>
      <c r="E10" s="132">
        <f t="shared" si="0"/>
        <v>0.5307657861659798</v>
      </c>
      <c r="F10" s="131">
        <f t="shared" si="1"/>
        <v>3.2872723221706097E-2</v>
      </c>
      <c r="G10" s="126">
        <v>336540527.29999995</v>
      </c>
      <c r="H10" s="159">
        <f t="shared" si="2"/>
        <v>9.9356824327410109E-2</v>
      </c>
      <c r="I10" s="130">
        <f t="shared" si="3"/>
        <v>9.9356824327410109E-2</v>
      </c>
      <c r="J10" s="123">
        <f t="shared" si="4"/>
        <v>1.0235347175966122E-2</v>
      </c>
      <c r="K10" s="129">
        <f t="shared" si="5"/>
        <v>0.12765296565048098</v>
      </c>
      <c r="M10" s="128" t="s">
        <v>4</v>
      </c>
      <c r="N10" s="127">
        <f t="shared" si="6"/>
        <v>6811062.0945499791</v>
      </c>
      <c r="O10" s="126">
        <f t="shared" si="7"/>
        <v>1272427.3198409611</v>
      </c>
      <c r="P10" s="125">
        <f t="shared" si="8"/>
        <v>10579619.701537548</v>
      </c>
      <c r="Q10" s="124">
        <f t="shared" si="9"/>
        <v>18663109.115928486</v>
      </c>
      <c r="R10" s="123">
        <f t="shared" si="10"/>
        <v>4.5037558893739088E-2</v>
      </c>
      <c r="T10" s="109"/>
      <c r="U10" s="109"/>
      <c r="V10" s="109"/>
      <c r="W10" s="109"/>
      <c r="X10" s="109"/>
      <c r="Y10" s="109"/>
      <c r="Z10" s="109"/>
    </row>
    <row r="11" spans="1:29">
      <c r="A11" s="248">
        <v>16</v>
      </c>
      <c r="B11" s="128" t="s">
        <v>5</v>
      </c>
      <c r="C11" s="127">
        <v>1901133</v>
      </c>
      <c r="D11" s="126">
        <f>+VLOOKUP(A11,'COEF Art 14 F I'!A$7:D$57,4,)</f>
        <v>809425.1</v>
      </c>
      <c r="E11" s="132">
        <f t="shared" si="0"/>
        <v>0.42575932351918566</v>
      </c>
      <c r="F11" s="131">
        <f t="shared" si="1"/>
        <v>2.6369198554049709E-2</v>
      </c>
      <c r="G11" s="126">
        <v>792296.3</v>
      </c>
      <c r="H11" s="159">
        <f t="shared" si="2"/>
        <v>2.1619184640897515E-2</v>
      </c>
      <c r="I11" s="130">
        <f t="shared" si="3"/>
        <v>2.1619184640897515E-2</v>
      </c>
      <c r="J11" s="123">
        <f t="shared" si="4"/>
        <v>2.2271229174124769E-3</v>
      </c>
      <c r="K11" s="129">
        <f t="shared" si="5"/>
        <v>2.7927465816848226E-4</v>
      </c>
      <c r="M11" s="128" t="s">
        <v>5</v>
      </c>
      <c r="N11" s="127">
        <f t="shared" si="6"/>
        <v>5463564.6558347018</v>
      </c>
      <c r="O11" s="126">
        <f t="shared" si="7"/>
        <v>276869.1668235524</v>
      </c>
      <c r="P11" s="125">
        <f t="shared" si="8"/>
        <v>23145.719025355884</v>
      </c>
      <c r="Q11" s="124">
        <f t="shared" si="9"/>
        <v>5763579.5416836096</v>
      </c>
      <c r="R11" s="123">
        <f t="shared" si="10"/>
        <v>1.3908591083882293E-2</v>
      </c>
      <c r="T11" s="109"/>
      <c r="U11" s="109"/>
      <c r="V11" s="109"/>
      <c r="W11" s="109"/>
      <c r="X11" s="109"/>
      <c r="Y11" s="109"/>
      <c r="Z11" s="109"/>
    </row>
    <row r="12" spans="1:29">
      <c r="A12" s="248">
        <v>18</v>
      </c>
      <c r="B12" s="171" t="s">
        <v>6</v>
      </c>
      <c r="C12" s="127">
        <v>2326723</v>
      </c>
      <c r="D12" s="126">
        <f>+VLOOKUP(A12,'COEF Art 14 F I'!A$7:D$57,4,)</f>
        <v>2282515</v>
      </c>
      <c r="E12" s="132">
        <f t="shared" si="0"/>
        <v>0.98099988696548757</v>
      </c>
      <c r="F12" s="131">
        <f t="shared" si="1"/>
        <v>6.0757755313672154E-2</v>
      </c>
      <c r="G12" s="126">
        <v>960189</v>
      </c>
      <c r="H12" s="159">
        <f t="shared" si="2"/>
        <v>1.3771517899080283</v>
      </c>
      <c r="I12" s="130">
        <f t="shared" si="3"/>
        <v>1.3771517899080283</v>
      </c>
      <c r="J12" s="123">
        <f t="shared" si="4"/>
        <v>0.1418687320084081</v>
      </c>
      <c r="K12" s="129">
        <f t="shared" si="5"/>
        <v>7.8753252943284465E-4</v>
      </c>
      <c r="M12" s="128" t="s">
        <v>6</v>
      </c>
      <c r="N12" s="127">
        <f t="shared" si="6"/>
        <v>12588699.79757696</v>
      </c>
      <c r="O12" s="126">
        <f t="shared" si="7"/>
        <v>17636690.513300065</v>
      </c>
      <c r="P12" s="125">
        <f t="shared" si="8"/>
        <v>65269.103788800443</v>
      </c>
      <c r="Q12" s="124">
        <f t="shared" si="9"/>
        <v>30290659.414665826</v>
      </c>
      <c r="R12" s="123">
        <f t="shared" si="10"/>
        <v>7.3097003765245083E-2</v>
      </c>
      <c r="T12" s="109"/>
      <c r="U12" s="109"/>
      <c r="V12" s="109"/>
      <c r="W12" s="109"/>
      <c r="X12" s="109"/>
      <c r="Y12" s="109"/>
      <c r="Z12" s="109"/>
    </row>
    <row r="13" spans="1:29">
      <c r="A13" s="248">
        <v>19</v>
      </c>
      <c r="B13" s="171" t="s">
        <v>128</v>
      </c>
      <c r="C13" s="127">
        <v>118292323</v>
      </c>
      <c r="D13" s="126">
        <f>+VLOOKUP(A13,'COEF Art 14 F I'!A$7:D$57,4,)</f>
        <v>34565785.189999998</v>
      </c>
      <c r="E13" s="132">
        <f t="shared" si="0"/>
        <v>0.29220649585180603</v>
      </c>
      <c r="F13" s="131">
        <f t="shared" si="1"/>
        <v>1.8097668523639882E-2</v>
      </c>
      <c r="G13" s="126">
        <v>36285132.439999998</v>
      </c>
      <c r="H13" s="159">
        <f t="shared" si="2"/>
        <v>-4.7384345443497011E-2</v>
      </c>
      <c r="I13" s="130">
        <f t="shared" si="3"/>
        <v>0</v>
      </c>
      <c r="J13" s="123">
        <f t="shared" si="4"/>
        <v>0</v>
      </c>
      <c r="K13" s="129">
        <f t="shared" si="5"/>
        <v>1.1926178028408603E-2</v>
      </c>
      <c r="M13" s="128" t="s">
        <v>128</v>
      </c>
      <c r="N13" s="127">
        <f t="shared" si="6"/>
        <v>3749745.442437259</v>
      </c>
      <c r="O13" s="126">
        <f t="shared" si="7"/>
        <v>0</v>
      </c>
      <c r="P13" s="125">
        <f t="shared" si="8"/>
        <v>988417.52238539129</v>
      </c>
      <c r="Q13" s="124">
        <f t="shared" si="9"/>
        <v>4738162.96482265</v>
      </c>
      <c r="R13" s="123">
        <f t="shared" si="10"/>
        <v>1.1434069867501662E-2</v>
      </c>
      <c r="T13" s="109"/>
      <c r="U13" s="109"/>
      <c r="V13" s="109"/>
      <c r="W13" s="109"/>
      <c r="X13" s="109"/>
      <c r="Y13" s="109"/>
      <c r="Z13" s="109"/>
    </row>
    <row r="14" spans="1:29">
      <c r="A14" s="248">
        <v>20</v>
      </c>
      <c r="B14" s="171" t="s">
        <v>129</v>
      </c>
      <c r="C14" s="127">
        <v>45596306</v>
      </c>
      <c r="D14" s="126">
        <f>+VLOOKUP(A14,'COEF Art 14 F I'!A$7:D$57,4,)</f>
        <v>10430458.359999999</v>
      </c>
      <c r="E14" s="132">
        <f t="shared" si="0"/>
        <v>0.22875665322537311</v>
      </c>
      <c r="F14" s="131">
        <f t="shared" si="1"/>
        <v>1.4167933093279491E-2</v>
      </c>
      <c r="G14" s="177">
        <v>5537234.6300000008</v>
      </c>
      <c r="H14" s="159">
        <f t="shared" si="2"/>
        <v>0.88369448957231533</v>
      </c>
      <c r="I14" s="130">
        <f t="shared" si="3"/>
        <v>0.88369448957231533</v>
      </c>
      <c r="J14" s="123">
        <f t="shared" si="4"/>
        <v>9.1034712104476459E-2</v>
      </c>
      <c r="K14" s="129">
        <f t="shared" si="5"/>
        <v>3.5988045009100753E-3</v>
      </c>
      <c r="M14" s="128" t="s">
        <v>129</v>
      </c>
      <c r="N14" s="127">
        <f t="shared" si="6"/>
        <v>2935524.124330454</v>
      </c>
      <c r="O14" s="126">
        <f t="shared" si="7"/>
        <v>11317159.324852968</v>
      </c>
      <c r="P14" s="125">
        <f t="shared" si="8"/>
        <v>298261.64089331339</v>
      </c>
      <c r="Q14" s="124">
        <f t="shared" si="9"/>
        <v>14550945.090076735</v>
      </c>
      <c r="R14" s="123">
        <f t="shared" si="10"/>
        <v>3.5114141078164705E-2</v>
      </c>
      <c r="T14" s="109"/>
      <c r="U14" s="109"/>
      <c r="V14" s="109"/>
      <c r="W14" s="109"/>
      <c r="X14" s="109"/>
      <c r="Y14" s="109"/>
      <c r="Z14" s="109"/>
    </row>
    <row r="15" spans="1:29">
      <c r="A15" s="248">
        <v>23</v>
      </c>
      <c r="B15" s="171" t="s">
        <v>130</v>
      </c>
      <c r="C15" s="127">
        <v>3975543</v>
      </c>
      <c r="D15" s="126">
        <f>+VLOOKUP(A15,'COEF Art 14 F I'!A$7:D$57,4,)</f>
        <v>1264344</v>
      </c>
      <c r="E15" s="132">
        <f t="shared" si="0"/>
        <v>0.31803051809526395</v>
      </c>
      <c r="F15" s="131">
        <f t="shared" si="1"/>
        <v>1.96970668982271E-2</v>
      </c>
      <c r="G15" s="126">
        <v>1064298</v>
      </c>
      <c r="H15" s="159">
        <f t="shared" si="2"/>
        <v>0.18796051481821818</v>
      </c>
      <c r="I15" s="130">
        <f t="shared" si="3"/>
        <v>0.18796051481821818</v>
      </c>
      <c r="J15" s="123">
        <f t="shared" si="4"/>
        <v>1.9362949022989732E-2</v>
      </c>
      <c r="K15" s="129">
        <f t="shared" si="5"/>
        <v>4.3623460454509196E-4</v>
      </c>
      <c r="M15" s="128" t="s">
        <v>130</v>
      </c>
      <c r="N15" s="127">
        <f t="shared" si="6"/>
        <v>4081132.7014046791</v>
      </c>
      <c r="O15" s="126">
        <f t="shared" si="7"/>
        <v>2407143.0998836039</v>
      </c>
      <c r="P15" s="125">
        <f t="shared" si="8"/>
        <v>36154.242035976589</v>
      </c>
      <c r="Q15" s="124">
        <f t="shared" si="9"/>
        <v>6524430.0433242591</v>
      </c>
      <c r="R15" s="123">
        <f t="shared" si="10"/>
        <v>1.574466507691949E-2</v>
      </c>
      <c r="T15" s="109"/>
      <c r="U15" s="109"/>
      <c r="V15" s="109"/>
      <c r="W15" s="109"/>
      <c r="X15" s="109"/>
      <c r="Y15" s="109"/>
      <c r="Z15" s="109"/>
    </row>
    <row r="16" spans="1:29">
      <c r="A16" s="248">
        <v>21</v>
      </c>
      <c r="B16" s="171" t="s">
        <v>7</v>
      </c>
      <c r="C16" s="127">
        <v>5498532</v>
      </c>
      <c r="D16" s="126">
        <f>+VLOOKUP(A16,'COEF Art 14 F I'!A$7:D$57,4,)</f>
        <v>1750296.04</v>
      </c>
      <c r="E16" s="132">
        <f t="shared" si="0"/>
        <v>0.3183206063000088</v>
      </c>
      <c r="F16" s="131">
        <f t="shared" si="1"/>
        <v>1.9715033371411707E-2</v>
      </c>
      <c r="G16" s="177">
        <v>1864847</v>
      </c>
      <c r="H16" s="159">
        <f t="shared" si="2"/>
        <v>-6.1426465549184406E-2</v>
      </c>
      <c r="I16" s="130">
        <f t="shared" si="3"/>
        <v>0</v>
      </c>
      <c r="J16" s="123">
        <f t="shared" si="4"/>
        <v>0</v>
      </c>
      <c r="K16" s="129">
        <f t="shared" si="5"/>
        <v>6.0390186598444767E-4</v>
      </c>
      <c r="M16" s="128" t="s">
        <v>7</v>
      </c>
      <c r="N16" s="127">
        <f t="shared" si="6"/>
        <v>4084855.2638360029</v>
      </c>
      <c r="O16" s="126">
        <f t="shared" si="7"/>
        <v>0</v>
      </c>
      <c r="P16" s="125">
        <f t="shared" si="8"/>
        <v>50050.165670712537</v>
      </c>
      <c r="Q16" s="124">
        <f t="shared" si="9"/>
        <v>4134905.4295067154</v>
      </c>
      <c r="R16" s="123">
        <f t="shared" si="10"/>
        <v>9.9782970589027443E-3</v>
      </c>
      <c r="T16" s="109"/>
      <c r="U16" s="109"/>
      <c r="V16" s="109"/>
      <c r="W16" s="109"/>
      <c r="X16" s="109"/>
      <c r="Y16" s="109"/>
      <c r="Z16" s="109"/>
    </row>
    <row r="17" spans="1:26">
      <c r="A17" s="248">
        <v>22</v>
      </c>
      <c r="B17" s="171" t="s">
        <v>131</v>
      </c>
      <c r="C17" s="127">
        <v>57370151</v>
      </c>
      <c r="D17" s="126">
        <f>+VLOOKUP(A17,'COEF Art 14 F I'!A$7:D$57,4,)</f>
        <v>15225307</v>
      </c>
      <c r="E17" s="132">
        <f t="shared" si="0"/>
        <v>0.26538725686812292</v>
      </c>
      <c r="F17" s="131">
        <f t="shared" si="1"/>
        <v>1.6436631879782612E-2</v>
      </c>
      <c r="G17" s="126">
        <v>14209085</v>
      </c>
      <c r="H17" s="159">
        <f t="shared" si="2"/>
        <v>7.1519172416802279E-2</v>
      </c>
      <c r="I17" s="130">
        <f t="shared" si="3"/>
        <v>7.1519172416802279E-2</v>
      </c>
      <c r="J17" s="123">
        <f t="shared" si="4"/>
        <v>7.3676223488335071E-3</v>
      </c>
      <c r="K17" s="129">
        <f t="shared" si="5"/>
        <v>5.253163520547114E-3</v>
      </c>
      <c r="M17" s="128" t="s">
        <v>131</v>
      </c>
      <c r="N17" s="127">
        <f t="shared" si="6"/>
        <v>3405587.045631106</v>
      </c>
      <c r="O17" s="126">
        <f t="shared" si="7"/>
        <v>915920.4663755527</v>
      </c>
      <c r="P17" s="125">
        <f t="shared" si="8"/>
        <v>435371.5716213694</v>
      </c>
      <c r="Q17" s="124">
        <f t="shared" si="9"/>
        <v>4756879.0836280286</v>
      </c>
      <c r="R17" s="123">
        <f t="shared" si="10"/>
        <v>1.1479235348650784E-2</v>
      </c>
      <c r="T17" s="109"/>
      <c r="U17" s="109"/>
      <c r="V17" s="109"/>
      <c r="W17" s="109"/>
      <c r="X17" s="109"/>
      <c r="Y17" s="109"/>
      <c r="Z17" s="109"/>
    </row>
    <row r="18" spans="1:26">
      <c r="A18" s="248">
        <v>25</v>
      </c>
      <c r="B18" s="171" t="s">
        <v>8</v>
      </c>
      <c r="C18" s="127">
        <v>7297681</v>
      </c>
      <c r="D18" s="126">
        <f>+VLOOKUP(A18,'COEF Art 14 F I'!A$7:D$57,4,)</f>
        <v>928327</v>
      </c>
      <c r="E18" s="132">
        <f t="shared" si="0"/>
        <v>0.12720849267047984</v>
      </c>
      <c r="F18" s="131">
        <f t="shared" si="1"/>
        <v>7.8785966993347688E-3</v>
      </c>
      <c r="G18" s="126">
        <v>838434</v>
      </c>
      <c r="H18" s="159">
        <f t="shared" si="2"/>
        <v>0.10721535624748046</v>
      </c>
      <c r="I18" s="130">
        <f t="shared" si="3"/>
        <v>0.10721535624748046</v>
      </c>
      <c r="J18" s="123">
        <f t="shared" si="4"/>
        <v>1.1044902060996216E-2</v>
      </c>
      <c r="K18" s="129">
        <f t="shared" si="5"/>
        <v>3.2029919209766613E-4</v>
      </c>
      <c r="M18" s="128" t="s">
        <v>8</v>
      </c>
      <c r="N18" s="127">
        <f t="shared" si="6"/>
        <v>1632405.4133018244</v>
      </c>
      <c r="O18" s="126">
        <f t="shared" si="7"/>
        <v>1373068.7279840873</v>
      </c>
      <c r="P18" s="125">
        <f t="shared" si="8"/>
        <v>26545.749453101405</v>
      </c>
      <c r="Q18" s="124">
        <f t="shared" si="9"/>
        <v>3032019.890739013</v>
      </c>
      <c r="R18" s="123">
        <f t="shared" si="10"/>
        <v>7.3168288063857828E-3</v>
      </c>
      <c r="T18" s="109"/>
      <c r="U18" s="109"/>
      <c r="V18" s="109"/>
      <c r="W18" s="109"/>
      <c r="X18" s="109"/>
      <c r="Y18" s="109"/>
      <c r="Z18" s="109"/>
    </row>
    <row r="19" spans="1:26">
      <c r="A19" s="248">
        <v>27</v>
      </c>
      <c r="B19" s="171" t="s">
        <v>9</v>
      </c>
      <c r="C19" s="127">
        <v>1700096</v>
      </c>
      <c r="D19" s="126">
        <f>+VLOOKUP(A19,'COEF Art 14 F I'!A$7:D$57,4,)</f>
        <v>292169</v>
      </c>
      <c r="E19" s="132">
        <f t="shared" si="0"/>
        <v>0.17185441292726999</v>
      </c>
      <c r="F19" s="131">
        <f t="shared" si="1"/>
        <v>1.064372025822383E-2</v>
      </c>
      <c r="G19" s="126">
        <v>363195</v>
      </c>
      <c r="H19" s="159">
        <f t="shared" si="2"/>
        <v>-0.19555885956579799</v>
      </c>
      <c r="I19" s="130">
        <f t="shared" si="3"/>
        <v>0</v>
      </c>
      <c r="J19" s="123">
        <f t="shared" si="4"/>
        <v>0</v>
      </c>
      <c r="K19" s="129">
        <f t="shared" si="5"/>
        <v>1.008066065685723E-4</v>
      </c>
      <c r="M19" s="128" t="s">
        <v>9</v>
      </c>
      <c r="N19" s="127">
        <f t="shared" si="6"/>
        <v>2205325.0382345277</v>
      </c>
      <c r="O19" s="126">
        <f t="shared" si="7"/>
        <v>0</v>
      </c>
      <c r="P19" s="125">
        <f t="shared" si="8"/>
        <v>8354.647739388367</v>
      </c>
      <c r="Q19" s="124">
        <f t="shared" si="9"/>
        <v>2213679.6859739162</v>
      </c>
      <c r="R19" s="123">
        <f t="shared" si="10"/>
        <v>5.3420214504256306E-3</v>
      </c>
      <c r="T19" s="109"/>
      <c r="U19" s="109"/>
      <c r="V19" s="109"/>
      <c r="W19" s="109"/>
      <c r="X19" s="109"/>
      <c r="Y19" s="109"/>
      <c r="Z19" s="109"/>
    </row>
    <row r="20" spans="1:26">
      <c r="A20" s="248">
        <v>26</v>
      </c>
      <c r="B20" s="171" t="s">
        <v>132</v>
      </c>
      <c r="C20" s="127">
        <v>2145081</v>
      </c>
      <c r="D20" s="126">
        <f>+VLOOKUP(A20,'COEF Art 14 F I'!A$7:D$57,4,)</f>
        <v>719516</v>
      </c>
      <c r="E20" s="132">
        <f t="shared" si="0"/>
        <v>0.33542602820126605</v>
      </c>
      <c r="F20" s="131">
        <f t="shared" si="1"/>
        <v>2.0774449434780001E-2</v>
      </c>
      <c r="G20" s="126">
        <v>1038863</v>
      </c>
      <c r="H20" s="159">
        <f t="shared" si="2"/>
        <v>-0.30740049457916974</v>
      </c>
      <c r="I20" s="130">
        <f t="shared" si="3"/>
        <v>0</v>
      </c>
      <c r="J20" s="123">
        <f t="shared" si="4"/>
        <v>0</v>
      </c>
      <c r="K20" s="129">
        <f t="shared" si="5"/>
        <v>2.4825346402867132E-4</v>
      </c>
      <c r="M20" s="128" t="s">
        <v>132</v>
      </c>
      <c r="N20" s="127">
        <f t="shared" si="6"/>
        <v>4304360.9172891527</v>
      </c>
      <c r="O20" s="126">
        <f t="shared" si="7"/>
        <v>0</v>
      </c>
      <c r="P20" s="125">
        <f t="shared" si="8"/>
        <v>20574.745174381129</v>
      </c>
      <c r="Q20" s="124">
        <f t="shared" si="9"/>
        <v>4324935.6624635337</v>
      </c>
      <c r="R20" s="123">
        <f t="shared" si="10"/>
        <v>1.0436875410195735E-2</v>
      </c>
      <c r="T20" s="109"/>
      <c r="U20" s="109"/>
      <c r="V20" s="109"/>
      <c r="W20" s="109"/>
      <c r="X20" s="109"/>
      <c r="Y20" s="109"/>
      <c r="Z20" s="109"/>
    </row>
    <row r="21" spans="1:26">
      <c r="A21" s="248">
        <v>29</v>
      </c>
      <c r="B21" s="171" t="s">
        <v>10</v>
      </c>
      <c r="C21" s="127">
        <v>10799410</v>
      </c>
      <c r="D21" s="126">
        <f>+VLOOKUP(A21,'COEF Art 14 F I'!A$7:D$57,4,)</f>
        <v>1519021</v>
      </c>
      <c r="E21" s="132">
        <f t="shared" si="0"/>
        <v>0.14065777667483687</v>
      </c>
      <c r="F21" s="131">
        <f t="shared" si="1"/>
        <v>8.7115716237340796E-3</v>
      </c>
      <c r="G21" s="126">
        <v>1281029</v>
      </c>
      <c r="H21" s="159">
        <f t="shared" si="2"/>
        <v>0.1857818987704416</v>
      </c>
      <c r="I21" s="130">
        <f t="shared" si="3"/>
        <v>0.1857818987704416</v>
      </c>
      <c r="J21" s="123">
        <f t="shared" si="4"/>
        <v>1.9138516612200885E-2</v>
      </c>
      <c r="K21" s="129">
        <f t="shared" si="5"/>
        <v>5.2410540583155388E-4</v>
      </c>
      <c r="M21" s="128" t="s">
        <v>10</v>
      </c>
      <c r="N21" s="127">
        <f t="shared" si="6"/>
        <v>1804993.6073197927</v>
      </c>
      <c r="O21" s="126">
        <f t="shared" si="7"/>
        <v>2379242.3432179131</v>
      </c>
      <c r="P21" s="125">
        <f t="shared" si="8"/>
        <v>43436.796387479357</v>
      </c>
      <c r="Q21" s="124">
        <f t="shared" si="9"/>
        <v>4227672.7469251854</v>
      </c>
      <c r="R21" s="123">
        <f t="shared" si="10"/>
        <v>1.0202161876693618E-2</v>
      </c>
      <c r="T21" s="109"/>
      <c r="U21" s="109"/>
      <c r="V21" s="109"/>
      <c r="W21" s="109"/>
      <c r="X21" s="109"/>
      <c r="Y21" s="109"/>
      <c r="Z21" s="109"/>
    </row>
    <row r="22" spans="1:26">
      <c r="A22" s="248">
        <v>30</v>
      </c>
      <c r="B22" s="171" t="s">
        <v>133</v>
      </c>
      <c r="C22" s="127">
        <v>440237925</v>
      </c>
      <c r="D22" s="126">
        <f>+VLOOKUP(A22,'COEF Art 14 F I'!A$7:D$57,4,)</f>
        <v>99582374</v>
      </c>
      <c r="E22" s="132">
        <f t="shared" si="0"/>
        <v>0.22620126151103406</v>
      </c>
      <c r="F22" s="131">
        <f t="shared" si="1"/>
        <v>1.4009666138743278E-2</v>
      </c>
      <c r="G22" s="126">
        <v>103525907.24000001</v>
      </c>
      <c r="H22" s="159">
        <f t="shared" si="2"/>
        <v>-3.8092235510265748E-2</v>
      </c>
      <c r="I22" s="130">
        <f t="shared" si="3"/>
        <v>0</v>
      </c>
      <c r="J22" s="123">
        <f t="shared" si="4"/>
        <v>0</v>
      </c>
      <c r="K22" s="129">
        <f t="shared" si="5"/>
        <v>3.4358748522199216E-2</v>
      </c>
      <c r="M22" s="128" t="s">
        <v>133</v>
      </c>
      <c r="N22" s="127">
        <f t="shared" si="6"/>
        <v>2902732.0113195772</v>
      </c>
      <c r="O22" s="126">
        <f t="shared" si="7"/>
        <v>0</v>
      </c>
      <c r="P22" s="125">
        <f t="shared" si="8"/>
        <v>2847583.6102462164</v>
      </c>
      <c r="Q22" s="124">
        <f t="shared" si="9"/>
        <v>5750315.6215657936</v>
      </c>
      <c r="R22" s="123">
        <f t="shared" si="10"/>
        <v>1.3876582773811484E-2</v>
      </c>
      <c r="T22" s="109"/>
      <c r="U22" s="109"/>
      <c r="V22" s="109"/>
      <c r="W22" s="109"/>
      <c r="X22" s="109"/>
      <c r="Y22" s="109"/>
      <c r="Z22" s="109"/>
    </row>
    <row r="23" spans="1:26">
      <c r="A23" s="248">
        <v>32</v>
      </c>
      <c r="B23" s="171" t="s">
        <v>11</v>
      </c>
      <c r="C23" s="127">
        <v>4036392</v>
      </c>
      <c r="D23" s="126">
        <f>+VLOOKUP(A23,'COEF Art 14 F I'!A$7:D$57,4,)</f>
        <v>940088</v>
      </c>
      <c r="E23" s="132">
        <f t="shared" si="0"/>
        <v>0.23290304806867124</v>
      </c>
      <c r="F23" s="131">
        <f t="shared" si="1"/>
        <v>1.4424738059997945E-2</v>
      </c>
      <c r="G23" s="126">
        <v>3566422</v>
      </c>
      <c r="H23" s="159">
        <f t="shared" si="2"/>
        <v>-0.73640584316718549</v>
      </c>
      <c r="I23" s="130">
        <f t="shared" si="3"/>
        <v>0</v>
      </c>
      <c r="J23" s="123">
        <f t="shared" si="4"/>
        <v>0</v>
      </c>
      <c r="K23" s="129">
        <f t="shared" si="5"/>
        <v>3.2435707126983357E-4</v>
      </c>
      <c r="M23" s="128" t="s">
        <v>11</v>
      </c>
      <c r="N23" s="127">
        <f t="shared" si="6"/>
        <v>2988732.8153996891</v>
      </c>
      <c r="O23" s="126">
        <f t="shared" si="7"/>
        <v>0</v>
      </c>
      <c r="P23" s="125">
        <f t="shared" si="8"/>
        <v>26882.058274581257</v>
      </c>
      <c r="Q23" s="124">
        <f t="shared" si="9"/>
        <v>3015614.8736742702</v>
      </c>
      <c r="R23" s="123">
        <f t="shared" si="10"/>
        <v>7.2772404442529399E-3</v>
      </c>
      <c r="T23" s="109"/>
      <c r="U23" s="109"/>
      <c r="V23" s="109"/>
      <c r="W23" s="109"/>
      <c r="X23" s="109"/>
      <c r="Y23" s="109"/>
      <c r="Z23" s="109"/>
    </row>
    <row r="24" spans="1:26">
      <c r="A24" s="248">
        <v>33</v>
      </c>
      <c r="B24" s="171" t="s">
        <v>12</v>
      </c>
      <c r="C24" s="127">
        <v>478336774</v>
      </c>
      <c r="D24" s="126">
        <f>+VLOOKUP(A24,'COEF Art 14 F I'!A$7:D$57,4,)</f>
        <v>167034920.86000001</v>
      </c>
      <c r="E24" s="132">
        <f t="shared" si="0"/>
        <v>0.34919941334052651</v>
      </c>
      <c r="F24" s="131">
        <f t="shared" si="1"/>
        <v>2.1627497406804481E-2</v>
      </c>
      <c r="G24" s="177">
        <v>154603349.86000001</v>
      </c>
      <c r="H24" s="159">
        <f t="shared" si="2"/>
        <v>8.0409454331082264E-2</v>
      </c>
      <c r="I24" s="130">
        <f t="shared" si="3"/>
        <v>8.0409454331082264E-2</v>
      </c>
      <c r="J24" s="123">
        <f t="shared" si="4"/>
        <v>8.2834640386304E-3</v>
      </c>
      <c r="K24" s="129">
        <f t="shared" si="5"/>
        <v>5.7631793757539754E-2</v>
      </c>
      <c r="M24" s="128" t="s">
        <v>12</v>
      </c>
      <c r="N24" s="127">
        <f t="shared" si="6"/>
        <v>4481108.1453147335</v>
      </c>
      <c r="O24" s="126">
        <f t="shared" si="7"/>
        <v>1029775.1277477869</v>
      </c>
      <c r="P24" s="125">
        <f t="shared" si="8"/>
        <v>4776406.5453963764</v>
      </c>
      <c r="Q24" s="124">
        <f t="shared" si="9"/>
        <v>10287289.818458896</v>
      </c>
      <c r="R24" s="123">
        <f t="shared" si="10"/>
        <v>2.4825146666499313E-2</v>
      </c>
      <c r="T24" s="109"/>
      <c r="U24" s="109"/>
      <c r="V24" s="109"/>
      <c r="W24" s="109"/>
      <c r="X24" s="109"/>
      <c r="Y24" s="109"/>
      <c r="Z24" s="109"/>
    </row>
    <row r="25" spans="1:26">
      <c r="A25" s="248">
        <v>34</v>
      </c>
      <c r="B25" s="171" t="s">
        <v>134</v>
      </c>
      <c r="C25" s="127">
        <v>13247928</v>
      </c>
      <c r="D25" s="126">
        <f>+VLOOKUP(A25,'COEF Art 14 F I'!A$7:D$57,4,)</f>
        <v>4545524</v>
      </c>
      <c r="E25" s="132">
        <f t="shared" si="0"/>
        <v>0.34311207005352085</v>
      </c>
      <c r="F25" s="131">
        <f t="shared" si="1"/>
        <v>2.1250480733452686E-2</v>
      </c>
      <c r="G25" s="126">
        <v>4608992</v>
      </c>
      <c r="H25" s="159">
        <f t="shared" si="2"/>
        <v>-1.3770473023168583E-2</v>
      </c>
      <c r="I25" s="130">
        <f t="shared" si="3"/>
        <v>0</v>
      </c>
      <c r="J25" s="123">
        <f t="shared" si="4"/>
        <v>0</v>
      </c>
      <c r="K25" s="129">
        <f t="shared" si="5"/>
        <v>1.56833493463031E-3</v>
      </c>
      <c r="M25" s="128" t="s">
        <v>134</v>
      </c>
      <c r="N25" s="127">
        <f t="shared" si="6"/>
        <v>4402992.1962477528</v>
      </c>
      <c r="O25" s="126">
        <f t="shared" si="7"/>
        <v>0</v>
      </c>
      <c r="P25" s="125">
        <f t="shared" si="8"/>
        <v>129980.42848808589</v>
      </c>
      <c r="Q25" s="124">
        <f t="shared" si="9"/>
        <v>4532972.6247358387</v>
      </c>
      <c r="R25" s="123">
        <f t="shared" si="10"/>
        <v>1.0938907353652407E-2</v>
      </c>
      <c r="T25" s="109"/>
      <c r="U25" s="109"/>
      <c r="V25" s="109"/>
      <c r="W25" s="109"/>
      <c r="X25" s="109"/>
      <c r="Y25" s="109"/>
      <c r="Z25" s="109"/>
    </row>
    <row r="26" spans="1:26">
      <c r="A26" s="248">
        <v>35</v>
      </c>
      <c r="B26" s="171" t="s">
        <v>13</v>
      </c>
      <c r="C26" s="127">
        <v>882296</v>
      </c>
      <c r="D26" s="126">
        <f>+VLOOKUP(A26,'COEF Art 14 F I'!A$7:D$57,4,)</f>
        <v>298339</v>
      </c>
      <c r="E26" s="132">
        <f t="shared" si="0"/>
        <v>0.33813935459301642</v>
      </c>
      <c r="F26" s="131">
        <f t="shared" si="1"/>
        <v>2.094249799746235E-2</v>
      </c>
      <c r="G26" s="177">
        <v>246797</v>
      </c>
      <c r="H26" s="159">
        <f t="shared" si="2"/>
        <v>0.20884370555557807</v>
      </c>
      <c r="I26" s="130">
        <f t="shared" si="3"/>
        <v>0.20884370555557807</v>
      </c>
      <c r="J26" s="123">
        <f t="shared" si="4"/>
        <v>2.1514252758648995E-2</v>
      </c>
      <c r="K26" s="129">
        <f t="shared" si="5"/>
        <v>1.0293543188038871E-4</v>
      </c>
      <c r="M26" s="128" t="s">
        <v>13</v>
      </c>
      <c r="N26" s="127">
        <f t="shared" si="6"/>
        <v>4339179.7300662333</v>
      </c>
      <c r="O26" s="126">
        <f t="shared" si="7"/>
        <v>2674586.6559709315</v>
      </c>
      <c r="P26" s="125">
        <f t="shared" si="8"/>
        <v>8531.0804771258609</v>
      </c>
      <c r="Q26" s="124">
        <f t="shared" si="9"/>
        <v>7022297.4665142912</v>
      </c>
      <c r="R26" s="123">
        <f t="shared" si="10"/>
        <v>1.6946111912701955E-2</v>
      </c>
      <c r="T26" s="109"/>
      <c r="U26" s="109"/>
      <c r="V26" s="109"/>
      <c r="W26" s="109"/>
      <c r="X26" s="109"/>
      <c r="Y26" s="109"/>
      <c r="Z26" s="109"/>
    </row>
    <row r="27" spans="1:26">
      <c r="A27" s="248">
        <v>61</v>
      </c>
      <c r="B27" s="128" t="s">
        <v>14</v>
      </c>
      <c r="C27" s="127">
        <v>1693362</v>
      </c>
      <c r="D27" s="126">
        <f>+VLOOKUP(A27,'COEF Art 14 F I'!A$7:D$57,4,)</f>
        <v>227416</v>
      </c>
      <c r="E27" s="132">
        <f t="shared" si="0"/>
        <v>0.13429851384405697</v>
      </c>
      <c r="F27" s="131">
        <f t="shared" si="1"/>
        <v>8.3177137444604924E-3</v>
      </c>
      <c r="G27" s="126">
        <v>165744</v>
      </c>
      <c r="H27" s="159">
        <f t="shared" si="2"/>
        <v>0.37209190076262177</v>
      </c>
      <c r="I27" s="130">
        <f t="shared" si="3"/>
        <v>0.37209190076262177</v>
      </c>
      <c r="J27" s="123">
        <f t="shared" si="4"/>
        <v>3.8331436330135388E-2</v>
      </c>
      <c r="K27" s="129">
        <f t="shared" si="5"/>
        <v>7.8464981703734607E-5</v>
      </c>
      <c r="M27" s="128" t="s">
        <v>14</v>
      </c>
      <c r="N27" s="127">
        <f t="shared" si="6"/>
        <v>1723388.2455106184</v>
      </c>
      <c r="O27" s="126">
        <f t="shared" si="7"/>
        <v>4765247.9155505355</v>
      </c>
      <c r="P27" s="125">
        <f t="shared" si="8"/>
        <v>6503.0190413792861</v>
      </c>
      <c r="Q27" s="124">
        <f t="shared" si="9"/>
        <v>6495139.1801025327</v>
      </c>
      <c r="R27" s="123">
        <f t="shared" si="10"/>
        <v>1.567398076761161E-2</v>
      </c>
      <c r="T27" s="109"/>
      <c r="U27" s="109"/>
      <c r="V27" s="109"/>
      <c r="W27" s="109"/>
      <c r="X27" s="109"/>
      <c r="Y27" s="109"/>
      <c r="Z27" s="109"/>
    </row>
    <row r="28" spans="1:26">
      <c r="A28" s="248">
        <v>36</v>
      </c>
      <c r="B28" s="128" t="s">
        <v>15</v>
      </c>
      <c r="C28" s="127">
        <v>71592167</v>
      </c>
      <c r="D28" s="126">
        <f>+VLOOKUP(A28,'COEF Art 14 F I'!A$7:D$57,4,)</f>
        <v>16361057</v>
      </c>
      <c r="E28" s="132">
        <f t="shared" si="0"/>
        <v>0.22853138388729036</v>
      </c>
      <c r="F28" s="131">
        <f t="shared" si="1"/>
        <v>1.4153981145369239E-2</v>
      </c>
      <c r="G28" s="126">
        <v>12472493</v>
      </c>
      <c r="H28" s="159">
        <f t="shared" si="2"/>
        <v>0.31177119121253472</v>
      </c>
      <c r="I28" s="130">
        <f t="shared" si="3"/>
        <v>0.31177119121253472</v>
      </c>
      <c r="J28" s="123">
        <f t="shared" si="4"/>
        <v>3.2117435346053713E-2</v>
      </c>
      <c r="K28" s="129">
        <f t="shared" si="5"/>
        <v>5.6450295412757198E-3</v>
      </c>
      <c r="M28" s="128" t="s">
        <v>15</v>
      </c>
      <c r="N28" s="127">
        <f t="shared" si="6"/>
        <v>2932633.3512443379</v>
      </c>
      <c r="O28" s="126">
        <f t="shared" si="7"/>
        <v>3992742.1586153479</v>
      </c>
      <c r="P28" s="125">
        <f t="shared" si="8"/>
        <v>467848.63513601449</v>
      </c>
      <c r="Q28" s="124">
        <f t="shared" si="9"/>
        <v>7393224.1449957006</v>
      </c>
      <c r="R28" s="123">
        <f t="shared" si="10"/>
        <v>1.7841227084755881E-2</v>
      </c>
      <c r="T28" s="109"/>
      <c r="U28" s="109"/>
      <c r="V28" s="109"/>
      <c r="W28" s="109"/>
      <c r="X28" s="109"/>
      <c r="Y28" s="109"/>
      <c r="Z28" s="109"/>
    </row>
    <row r="29" spans="1:26">
      <c r="A29" s="248">
        <v>28</v>
      </c>
      <c r="B29" s="128" t="s">
        <v>16</v>
      </c>
      <c r="C29" s="127">
        <v>935771643</v>
      </c>
      <c r="D29" s="126">
        <f>+VLOOKUP(A29,'COEF Art 14 F I'!A$7:D$57,4,)</f>
        <v>367511761.92000002</v>
      </c>
      <c r="E29" s="132">
        <f t="shared" si="0"/>
        <v>0.39273658768050529</v>
      </c>
      <c r="F29" s="131">
        <f t="shared" si="1"/>
        <v>2.4323951321574586E-2</v>
      </c>
      <c r="G29" s="126">
        <v>210861820.25999999</v>
      </c>
      <c r="H29" s="159">
        <f t="shared" si="2"/>
        <v>0.74290329784142606</v>
      </c>
      <c r="I29" s="130">
        <f t="shared" si="3"/>
        <v>0.74290329784142606</v>
      </c>
      <c r="J29" s="123">
        <f t="shared" si="4"/>
        <v>7.6530960233996095E-2</v>
      </c>
      <c r="K29" s="129">
        <f t="shared" si="5"/>
        <v>0.12680200018890522</v>
      </c>
      <c r="M29" s="128" t="s">
        <v>16</v>
      </c>
      <c r="N29" s="127">
        <f t="shared" si="6"/>
        <v>5039799.7670804821</v>
      </c>
      <c r="O29" s="126">
        <f t="shared" si="7"/>
        <v>9514096.8783217706</v>
      </c>
      <c r="P29" s="125">
        <f t="shared" si="8"/>
        <v>10509093.404582839</v>
      </c>
      <c r="Q29" s="124">
        <f t="shared" si="9"/>
        <v>25062990.049985092</v>
      </c>
      <c r="R29" s="123">
        <f t="shared" si="10"/>
        <v>6.048166376876718E-2</v>
      </c>
      <c r="T29" s="109"/>
      <c r="U29" s="109"/>
      <c r="V29" s="109"/>
      <c r="W29" s="109"/>
      <c r="X29" s="109"/>
      <c r="Y29" s="109"/>
      <c r="Z29" s="109"/>
    </row>
    <row r="30" spans="1:26">
      <c r="A30" s="248">
        <v>37</v>
      </c>
      <c r="B30" s="128" t="s">
        <v>135</v>
      </c>
      <c r="C30" s="127">
        <v>1080036</v>
      </c>
      <c r="D30" s="126">
        <f>+VLOOKUP(A30,'COEF Art 14 F I'!A$7:D$57,4,)</f>
        <v>291621.78000000003</v>
      </c>
      <c r="E30" s="132">
        <f t="shared" si="0"/>
        <v>0.27001116629445687</v>
      </c>
      <c r="F30" s="131">
        <f t="shared" si="1"/>
        <v>1.6723011482115496E-2</v>
      </c>
      <c r="G30" s="126">
        <v>297293.69</v>
      </c>
      <c r="H30" s="159">
        <f t="shared" si="2"/>
        <v>-1.9078474218541142E-2</v>
      </c>
      <c r="I30" s="130">
        <f t="shared" si="3"/>
        <v>0</v>
      </c>
      <c r="J30" s="123">
        <f t="shared" si="4"/>
        <v>0</v>
      </c>
      <c r="K30" s="129">
        <f t="shared" si="5"/>
        <v>1.006178001200906E-4</v>
      </c>
      <c r="M30" s="128" t="s">
        <v>135</v>
      </c>
      <c r="N30" s="127">
        <f t="shared" si="6"/>
        <v>3464923.4517130288</v>
      </c>
      <c r="O30" s="126">
        <f t="shared" si="7"/>
        <v>0</v>
      </c>
      <c r="P30" s="125">
        <f t="shared" si="8"/>
        <v>8338.9998426712355</v>
      </c>
      <c r="Q30" s="124">
        <f t="shared" si="9"/>
        <v>3473262.4515557</v>
      </c>
      <c r="R30" s="123">
        <f t="shared" si="10"/>
        <v>8.381629301081767E-3</v>
      </c>
      <c r="T30" s="109"/>
      <c r="U30" s="109"/>
      <c r="V30" s="109"/>
      <c r="W30" s="109"/>
      <c r="X30" s="109"/>
      <c r="Y30" s="109"/>
      <c r="Z30" s="109"/>
    </row>
    <row r="31" spans="1:26">
      <c r="A31" s="248">
        <v>39</v>
      </c>
      <c r="B31" s="128" t="s">
        <v>17</v>
      </c>
      <c r="C31" s="127">
        <v>2480480</v>
      </c>
      <c r="D31" s="126">
        <f>+VLOOKUP(A31,'COEF Art 14 F I'!A$7:D$57,4,)</f>
        <v>630053</v>
      </c>
      <c r="E31" s="132">
        <f t="shared" si="0"/>
        <v>0.2540044668773786</v>
      </c>
      <c r="F31" s="131">
        <f t="shared" si="1"/>
        <v>1.573164426639577E-2</v>
      </c>
      <c r="G31" s="126">
        <v>539788</v>
      </c>
      <c r="H31" s="159">
        <f t="shared" si="2"/>
        <v>0.16722305794126591</v>
      </c>
      <c r="I31" s="130">
        <f t="shared" si="3"/>
        <v>0.16722305794126591</v>
      </c>
      <c r="J31" s="123">
        <f t="shared" si="4"/>
        <v>1.7226658213384247E-2</v>
      </c>
      <c r="K31" s="129">
        <f t="shared" si="5"/>
        <v>2.1738618706416041E-4</v>
      </c>
      <c r="M31" s="128" t="s">
        <v>17</v>
      </c>
      <c r="N31" s="127">
        <f t="shared" si="6"/>
        <v>3259517.1755360183</v>
      </c>
      <c r="O31" s="126">
        <f t="shared" si="7"/>
        <v>2141565.9052330861</v>
      </c>
      <c r="P31" s="125">
        <f t="shared" si="8"/>
        <v>18016.527667702114</v>
      </c>
      <c r="Q31" s="124">
        <f t="shared" si="9"/>
        <v>5419099.6084368071</v>
      </c>
      <c r="R31" s="123">
        <f t="shared" si="10"/>
        <v>1.3077296834625994E-2</v>
      </c>
      <c r="T31" s="109"/>
      <c r="U31" s="109"/>
      <c r="V31" s="109"/>
      <c r="W31" s="109"/>
      <c r="X31" s="109"/>
      <c r="Y31" s="109"/>
      <c r="Z31" s="109"/>
    </row>
    <row r="32" spans="1:26">
      <c r="A32" s="248">
        <v>38</v>
      </c>
      <c r="B32" s="128" t="s">
        <v>18</v>
      </c>
      <c r="C32" s="127">
        <v>669013</v>
      </c>
      <c r="D32" s="126">
        <f>+VLOOKUP(A32,'COEF Art 14 F I'!A$7:D$57,4,)</f>
        <v>344639</v>
      </c>
      <c r="E32" s="132">
        <f t="shared" si="0"/>
        <v>0.51514544560419606</v>
      </c>
      <c r="F32" s="131">
        <f t="shared" si="1"/>
        <v>3.1905284955525672E-2</v>
      </c>
      <c r="G32" s="126">
        <v>419888</v>
      </c>
      <c r="H32" s="159">
        <f t="shared" si="2"/>
        <v>-0.17921207560111263</v>
      </c>
      <c r="I32" s="130">
        <f t="shared" si="3"/>
        <v>0</v>
      </c>
      <c r="J32" s="123">
        <f t="shared" si="4"/>
        <v>0</v>
      </c>
      <c r="K32" s="129">
        <f t="shared" si="5"/>
        <v>1.1891024742935146E-4</v>
      </c>
      <c r="M32" s="128" t="s">
        <v>18</v>
      </c>
      <c r="N32" s="127">
        <f t="shared" si="6"/>
        <v>6610613.7757673208</v>
      </c>
      <c r="O32" s="126">
        <f t="shared" si="7"/>
        <v>0</v>
      </c>
      <c r="P32" s="125">
        <f t="shared" si="8"/>
        <v>9855.0408915903718</v>
      </c>
      <c r="Q32" s="124">
        <f t="shared" si="9"/>
        <v>6620468.8166589113</v>
      </c>
      <c r="R32" s="123">
        <f t="shared" si="10"/>
        <v>1.5976424527248709E-2</v>
      </c>
      <c r="T32" s="109"/>
      <c r="U32" s="109"/>
      <c r="V32" s="109"/>
      <c r="W32" s="109"/>
      <c r="X32" s="109"/>
      <c r="Y32" s="109"/>
      <c r="Z32" s="109"/>
    </row>
    <row r="33" spans="1:26">
      <c r="A33" s="248">
        <v>40</v>
      </c>
      <c r="B33" s="128" t="s">
        <v>19</v>
      </c>
      <c r="C33" s="127">
        <v>2153132</v>
      </c>
      <c r="D33" s="126">
        <f>+VLOOKUP(A33,'COEF Art 14 F I'!A$7:D$57,4,)</f>
        <v>650893</v>
      </c>
      <c r="E33" s="132">
        <f t="shared" si="0"/>
        <v>0.3023005556556681</v>
      </c>
      <c r="F33" s="131">
        <f t="shared" si="1"/>
        <v>1.8722839253864646E-2</v>
      </c>
      <c r="G33" s="126">
        <v>656691</v>
      </c>
      <c r="H33" s="159">
        <f t="shared" si="2"/>
        <v>-8.829114454134479E-3</v>
      </c>
      <c r="I33" s="130">
        <f t="shared" si="3"/>
        <v>0</v>
      </c>
      <c r="J33" s="123">
        <f t="shared" si="4"/>
        <v>0</v>
      </c>
      <c r="K33" s="129">
        <f t="shared" si="5"/>
        <v>2.2457657920326156E-4</v>
      </c>
      <c r="M33" s="128" t="s">
        <v>19</v>
      </c>
      <c r="N33" s="127">
        <f t="shared" si="6"/>
        <v>3879277.6577799898</v>
      </c>
      <c r="O33" s="126">
        <f t="shared" si="7"/>
        <v>0</v>
      </c>
      <c r="P33" s="125">
        <f t="shared" si="8"/>
        <v>18612.452830497801</v>
      </c>
      <c r="Q33" s="124">
        <f t="shared" si="9"/>
        <v>3897890.1106104874</v>
      </c>
      <c r="R33" s="123">
        <f t="shared" si="10"/>
        <v>9.4063349427729766E-3</v>
      </c>
      <c r="T33" s="109"/>
      <c r="U33" s="109"/>
      <c r="V33" s="109"/>
      <c r="W33" s="109"/>
      <c r="X33" s="109"/>
      <c r="Y33" s="109"/>
      <c r="Z33" s="109"/>
    </row>
    <row r="34" spans="1:26">
      <c r="A34" s="248">
        <v>41</v>
      </c>
      <c r="B34" s="128" t="s">
        <v>20</v>
      </c>
      <c r="C34" s="127">
        <v>643163</v>
      </c>
      <c r="D34" s="126">
        <f>+VLOOKUP(A34,'COEF Art 14 F I'!A$7:D$57,4,)</f>
        <v>121874</v>
      </c>
      <c r="E34" s="132">
        <f t="shared" si="0"/>
        <v>0.18949162187501459</v>
      </c>
      <c r="F34" s="131">
        <f t="shared" si="1"/>
        <v>1.1736072296079748E-2</v>
      </c>
      <c r="G34" s="126">
        <v>129046</v>
      </c>
      <c r="H34" s="159">
        <f t="shared" si="2"/>
        <v>-5.5577081040869114E-2</v>
      </c>
      <c r="I34" s="130">
        <f t="shared" si="3"/>
        <v>0</v>
      </c>
      <c r="J34" s="123">
        <f t="shared" si="4"/>
        <v>0</v>
      </c>
      <c r="K34" s="129">
        <f t="shared" si="5"/>
        <v>4.2049992877198403E-5</v>
      </c>
      <c r="M34" s="128" t="s">
        <v>20</v>
      </c>
      <c r="N34" s="127">
        <f t="shared" si="6"/>
        <v>2431654.8591248193</v>
      </c>
      <c r="O34" s="126">
        <f t="shared" si="7"/>
        <v>0</v>
      </c>
      <c r="P34" s="125">
        <f t="shared" si="8"/>
        <v>3485.018392061505</v>
      </c>
      <c r="Q34" s="124">
        <f t="shared" si="9"/>
        <v>2435139.8775168806</v>
      </c>
      <c r="R34" s="123">
        <f t="shared" si="10"/>
        <v>5.8764461466153141E-3</v>
      </c>
      <c r="T34" s="109"/>
      <c r="U34" s="109"/>
      <c r="V34" s="109"/>
      <c r="W34" s="109"/>
      <c r="X34" s="109"/>
      <c r="Y34" s="109"/>
      <c r="Z34" s="109"/>
    </row>
    <row r="35" spans="1:26">
      <c r="A35" s="248">
        <v>42</v>
      </c>
      <c r="B35" s="128" t="s">
        <v>136</v>
      </c>
      <c r="C35" s="127">
        <v>658051524</v>
      </c>
      <c r="D35" s="126">
        <f>+VLOOKUP(A35,'COEF Art 14 F I'!A$7:D$57,4,)</f>
        <v>127211041.94</v>
      </c>
      <c r="E35" s="132">
        <f t="shared" si="0"/>
        <v>0.19331471366670674</v>
      </c>
      <c r="F35" s="131">
        <f t="shared" si="1"/>
        <v>1.1972853644077509E-2</v>
      </c>
      <c r="G35" s="126">
        <v>116809127.09999999</v>
      </c>
      <c r="H35" s="159">
        <f t="shared" si="2"/>
        <v>8.9050531394648136E-2</v>
      </c>
      <c r="I35" s="130">
        <f t="shared" si="3"/>
        <v>8.9050531394648136E-2</v>
      </c>
      <c r="J35" s="123">
        <f t="shared" si="4"/>
        <v>9.1736336300861816E-3</v>
      </c>
      <c r="K35" s="129">
        <f t="shared" si="5"/>
        <v>4.3891423990990594E-2</v>
      </c>
      <c r="M35" s="128" t="s">
        <v>136</v>
      </c>
      <c r="N35" s="127">
        <f t="shared" si="6"/>
        <v>2480714.7576056086</v>
      </c>
      <c r="O35" s="126">
        <f t="shared" si="7"/>
        <v>1140438.3117108741</v>
      </c>
      <c r="P35" s="125">
        <f t="shared" si="8"/>
        <v>3637632.4797266643</v>
      </c>
      <c r="Q35" s="124">
        <f t="shared" si="9"/>
        <v>7258785.5490431469</v>
      </c>
      <c r="R35" s="123">
        <f t="shared" si="10"/>
        <v>1.751680170926273E-2</v>
      </c>
      <c r="T35" s="109"/>
      <c r="U35" s="109"/>
      <c r="V35" s="109"/>
      <c r="W35" s="109"/>
      <c r="X35" s="109"/>
      <c r="Y35" s="109"/>
      <c r="Z35" s="109"/>
    </row>
    <row r="36" spans="1:26">
      <c r="A36" s="248">
        <v>43</v>
      </c>
      <c r="B36" s="128" t="s">
        <v>21</v>
      </c>
      <c r="C36" s="127">
        <v>4730111</v>
      </c>
      <c r="D36" s="126">
        <f>+VLOOKUP(A36,'COEF Art 14 F I'!A$7:D$57,4,)</f>
        <v>2452655</v>
      </c>
      <c r="E36" s="132">
        <f t="shared" si="0"/>
        <v>0.51851954425593816</v>
      </c>
      <c r="F36" s="131">
        <f t="shared" si="1"/>
        <v>3.2114258129743729E-2</v>
      </c>
      <c r="G36" s="126">
        <v>1176027</v>
      </c>
      <c r="H36" s="159">
        <f t="shared" si="2"/>
        <v>1.0855431040273733</v>
      </c>
      <c r="I36" s="130">
        <f t="shared" si="3"/>
        <v>1.0855431040273733</v>
      </c>
      <c r="J36" s="123">
        <f t="shared" si="4"/>
        <v>0.11182835823719908</v>
      </c>
      <c r="K36" s="129">
        <f t="shared" si="5"/>
        <v>8.4623566372011303E-4</v>
      </c>
      <c r="M36" s="128" t="s">
        <v>21</v>
      </c>
      <c r="N36" s="127">
        <f t="shared" si="6"/>
        <v>6653911.9611988999</v>
      </c>
      <c r="O36" s="126">
        <f t="shared" si="7"/>
        <v>13902162.350496227</v>
      </c>
      <c r="P36" s="125">
        <f t="shared" si="8"/>
        <v>70134.300871240877</v>
      </c>
      <c r="Q36" s="124">
        <f t="shared" si="9"/>
        <v>20626208.612566371</v>
      </c>
      <c r="R36" s="123">
        <f t="shared" si="10"/>
        <v>4.9774883668775624E-2</v>
      </c>
      <c r="T36" s="109"/>
      <c r="U36" s="109"/>
      <c r="V36" s="109"/>
      <c r="W36" s="109"/>
      <c r="X36" s="109"/>
      <c r="Y36" s="109"/>
      <c r="Z36" s="109"/>
    </row>
    <row r="37" spans="1:26">
      <c r="A37" s="248">
        <v>44</v>
      </c>
      <c r="B37" s="128" t="s">
        <v>22</v>
      </c>
      <c r="C37" s="127">
        <v>40442549</v>
      </c>
      <c r="D37" s="126">
        <f>+VLOOKUP(A37,'COEF Art 14 F I'!A$7:D$57,4,)</f>
        <v>11225818</v>
      </c>
      <c r="E37" s="132">
        <f t="shared" ref="E37:E55" si="11">IFERROR(D37/C37,0)</f>
        <v>0.27757444269895054</v>
      </c>
      <c r="F37" s="131">
        <f t="shared" ref="F37:F55" si="12">IFERROR(E37/$E$56,0)</f>
        <v>1.7191439361934471E-2</v>
      </c>
      <c r="G37" s="126">
        <v>12032960</v>
      </c>
      <c r="H37" s="159">
        <f t="shared" ref="H37:H55" si="13">IFERROR((D37/G37)-1,0)</f>
        <v>-6.7077593543068414E-2</v>
      </c>
      <c r="I37" s="130">
        <f t="shared" ref="I37:I55" si="14">IF(H37&lt;0,0,H37)</f>
        <v>0</v>
      </c>
      <c r="J37" s="123">
        <f t="shared" ref="J37:J55" si="15">IFERROR(I37/$I$56,0)</f>
        <v>0</v>
      </c>
      <c r="K37" s="129">
        <f t="shared" ref="K37:K55" si="16">IFERROR(D37/$D$56,0)</f>
        <v>3.8732261757284214E-3</v>
      </c>
      <c r="M37" s="128" t="s">
        <v>22</v>
      </c>
      <c r="N37" s="127">
        <f t="shared" ref="N37:N55" si="17">IFERROR($N$3*F37,0)</f>
        <v>3561979.3407170381</v>
      </c>
      <c r="O37" s="126">
        <f t="shared" ref="O37:O55" si="18">IFERROR($O$3*J37,0)</f>
        <v>0</v>
      </c>
      <c r="P37" s="125">
        <f t="shared" ref="P37:P55" si="19">IFERROR($P$3*K37,0)</f>
        <v>321005.15447047853</v>
      </c>
      <c r="Q37" s="124">
        <f t="shared" ref="Q37:Q55" si="20">IFERROR(SUM(N37:P37),0)</f>
        <v>3882984.4951875168</v>
      </c>
      <c r="R37" s="123">
        <f t="shared" ref="R37:R55" si="21">IFERROR(Q37/$Q$56,0)</f>
        <v>9.3703649161129207E-3</v>
      </c>
      <c r="T37" s="109"/>
      <c r="U37" s="109"/>
      <c r="V37" s="109"/>
      <c r="W37" s="109"/>
      <c r="X37" s="109"/>
      <c r="Y37" s="109"/>
      <c r="Z37" s="109"/>
    </row>
    <row r="38" spans="1:26">
      <c r="A38" s="248">
        <v>46</v>
      </c>
      <c r="B38" s="128" t="s">
        <v>137</v>
      </c>
      <c r="C38" s="127">
        <v>2483466</v>
      </c>
      <c r="D38" s="126">
        <f>+VLOOKUP(A38,'COEF Art 14 F I'!A$7:D$57,4,)</f>
        <v>1555152</v>
      </c>
      <c r="E38" s="132">
        <f t="shared" si="11"/>
        <v>0.62620225120859319</v>
      </c>
      <c r="F38" s="131">
        <f t="shared" si="12"/>
        <v>3.8783534698960551E-2</v>
      </c>
      <c r="G38" s="126">
        <v>947940</v>
      </c>
      <c r="H38" s="159">
        <f t="shared" si="13"/>
        <v>0.64055952908411928</v>
      </c>
      <c r="I38" s="130">
        <f t="shared" si="14"/>
        <v>0.64055952908411928</v>
      </c>
      <c r="J38" s="123">
        <f t="shared" si="15"/>
        <v>6.5987909853521695E-2</v>
      </c>
      <c r="K38" s="129">
        <f t="shared" si="16"/>
        <v>5.3657162744277581E-4</v>
      </c>
      <c r="M38" s="128" t="s">
        <v>137</v>
      </c>
      <c r="N38" s="127">
        <f t="shared" si="17"/>
        <v>8035752.3561153952</v>
      </c>
      <c r="O38" s="126">
        <f t="shared" si="18"/>
        <v>8203416.8292780025</v>
      </c>
      <c r="P38" s="125">
        <f t="shared" si="19"/>
        <v>44469.971630136322</v>
      </c>
      <c r="Q38" s="124">
        <f t="shared" si="20"/>
        <v>16283639.157023532</v>
      </c>
      <c r="R38" s="123">
        <f t="shared" si="21"/>
        <v>3.9295454631025337E-2</v>
      </c>
      <c r="T38" s="109"/>
      <c r="U38" s="109"/>
      <c r="V38" s="109"/>
      <c r="W38" s="109"/>
      <c r="X38" s="109"/>
      <c r="Y38" s="109"/>
      <c r="Z38" s="109"/>
    </row>
    <row r="39" spans="1:26">
      <c r="A39" s="248">
        <v>49</v>
      </c>
      <c r="B39" s="128" t="s">
        <v>23</v>
      </c>
      <c r="C39" s="127">
        <v>776280</v>
      </c>
      <c r="D39" s="126">
        <f>+VLOOKUP(A39,'COEF Art 14 F I'!A$7:D$57,4,)</f>
        <v>328826</v>
      </c>
      <c r="E39" s="132">
        <f t="shared" si="11"/>
        <v>0.42359200288555676</v>
      </c>
      <c r="F39" s="131">
        <f t="shared" si="12"/>
        <v>2.6234966594908891E-2</v>
      </c>
      <c r="G39" s="126">
        <v>296637</v>
      </c>
      <c r="H39" s="159">
        <f t="shared" si="13"/>
        <v>0.10851309850086133</v>
      </c>
      <c r="I39" s="130">
        <f t="shared" si="14"/>
        <v>0.10851309850086133</v>
      </c>
      <c r="J39" s="123">
        <f t="shared" si="15"/>
        <v>1.1178590336544385E-2</v>
      </c>
      <c r="K39" s="129">
        <f t="shared" si="16"/>
        <v>1.1345431312533964E-4</v>
      </c>
      <c r="M39" s="128" t="s">
        <v>23</v>
      </c>
      <c r="N39" s="127">
        <f t="shared" si="17"/>
        <v>5435752.4723835448</v>
      </c>
      <c r="O39" s="126">
        <f t="shared" si="18"/>
        <v>1389688.4489593906</v>
      </c>
      <c r="P39" s="125">
        <f t="shared" si="19"/>
        <v>9402.8640874018784</v>
      </c>
      <c r="Q39" s="124">
        <f t="shared" si="20"/>
        <v>6834843.7854303373</v>
      </c>
      <c r="R39" s="123">
        <f t="shared" si="21"/>
        <v>1.6493751261042831E-2</v>
      </c>
      <c r="T39" s="109"/>
      <c r="U39" s="109"/>
      <c r="V39" s="109"/>
      <c r="W39" s="109"/>
      <c r="X39" s="109"/>
      <c r="Y39" s="109"/>
      <c r="Z39" s="109"/>
    </row>
    <row r="40" spans="1:26">
      <c r="A40" s="248">
        <v>48</v>
      </c>
      <c r="B40" s="128" t="s">
        <v>24</v>
      </c>
      <c r="C40" s="127">
        <v>888800</v>
      </c>
      <c r="D40" s="126">
        <f>+VLOOKUP(A40,'COEF Art 14 F I'!A$7:D$57,4,)</f>
        <v>95366</v>
      </c>
      <c r="E40" s="132">
        <f t="shared" si="11"/>
        <v>0.10729747974797479</v>
      </c>
      <c r="F40" s="131">
        <f t="shared" si="12"/>
        <v>6.645417707913044E-3</v>
      </c>
      <c r="G40" s="126">
        <v>101056</v>
      </c>
      <c r="H40" s="159">
        <f t="shared" si="13"/>
        <v>-5.6305414819506017E-2</v>
      </c>
      <c r="I40" s="130">
        <f t="shared" si="14"/>
        <v>0</v>
      </c>
      <c r="J40" s="123">
        <f t="shared" si="15"/>
        <v>0</v>
      </c>
      <c r="K40" s="129">
        <f t="shared" si="16"/>
        <v>3.2903979689900249E-5</v>
      </c>
      <c r="M40" s="128" t="s">
        <v>24</v>
      </c>
      <c r="N40" s="127">
        <f t="shared" si="17"/>
        <v>1376896.9594502801</v>
      </c>
      <c r="O40" s="126">
        <f t="shared" si="18"/>
        <v>0</v>
      </c>
      <c r="P40" s="125">
        <f t="shared" si="19"/>
        <v>2727.0153107089081</v>
      </c>
      <c r="Q40" s="124">
        <f t="shared" si="20"/>
        <v>1379623.974760989</v>
      </c>
      <c r="R40" s="123">
        <f t="shared" si="21"/>
        <v>3.3292896498945024E-3</v>
      </c>
      <c r="T40" s="109"/>
      <c r="U40" s="109"/>
      <c r="V40" s="109"/>
      <c r="W40" s="109"/>
      <c r="X40" s="109"/>
      <c r="Y40" s="109"/>
      <c r="Z40" s="109"/>
    </row>
    <row r="41" spans="1:26">
      <c r="A41" s="248">
        <v>47</v>
      </c>
      <c r="B41" s="128" t="s">
        <v>25</v>
      </c>
      <c r="C41" s="127">
        <v>4862326</v>
      </c>
      <c r="D41" s="126">
        <f>+VLOOKUP(A41,'COEF Art 14 F I'!A$7:D$57,4,)</f>
        <v>736730</v>
      </c>
      <c r="E41" s="132">
        <f t="shared" si="11"/>
        <v>0.15151801833114439</v>
      </c>
      <c r="F41" s="131">
        <f t="shared" si="12"/>
        <v>9.3841954578125601E-3</v>
      </c>
      <c r="G41" s="177">
        <v>933845.6</v>
      </c>
      <c r="H41" s="159">
        <f t="shared" si="13"/>
        <v>-0.21107943325963086</v>
      </c>
      <c r="I41" s="130">
        <f t="shared" si="14"/>
        <v>0</v>
      </c>
      <c r="J41" s="123">
        <f t="shared" si="15"/>
        <v>0</v>
      </c>
      <c r="K41" s="129">
        <f t="shared" si="16"/>
        <v>2.5419278314011502E-4</v>
      </c>
      <c r="M41" s="128" t="s">
        <v>25</v>
      </c>
      <c r="N41" s="127">
        <f t="shared" si="17"/>
        <v>1944357.8659266902</v>
      </c>
      <c r="O41" s="126">
        <f t="shared" si="18"/>
        <v>0</v>
      </c>
      <c r="P41" s="125">
        <f t="shared" si="19"/>
        <v>21066.983934091539</v>
      </c>
      <c r="Q41" s="124">
        <f t="shared" si="20"/>
        <v>1965424.8498607818</v>
      </c>
      <c r="R41" s="123">
        <f t="shared" si="21"/>
        <v>4.7429362855343042E-3</v>
      </c>
      <c r="T41" s="109"/>
      <c r="U41" s="109"/>
      <c r="V41" s="109"/>
      <c r="W41" s="109"/>
      <c r="X41" s="109"/>
      <c r="Y41" s="109"/>
      <c r="Z41" s="109"/>
    </row>
    <row r="42" spans="1:26">
      <c r="A42" s="248">
        <v>45</v>
      </c>
      <c r="B42" s="128" t="s">
        <v>26</v>
      </c>
      <c r="C42" s="127">
        <v>65670646</v>
      </c>
      <c r="D42" s="126">
        <f>+VLOOKUP(A42,'COEF Art 14 F I'!A$7:D$57,4,)</f>
        <v>20566369</v>
      </c>
      <c r="E42" s="132">
        <f t="shared" si="11"/>
        <v>0.31317445849398223</v>
      </c>
      <c r="F42" s="131">
        <f t="shared" si="12"/>
        <v>1.9396309186668195E-2</v>
      </c>
      <c r="G42" s="126">
        <v>20840679</v>
      </c>
      <c r="H42" s="159">
        <f t="shared" si="13"/>
        <v>-1.3162239099791306E-2</v>
      </c>
      <c r="I42" s="130">
        <f t="shared" si="14"/>
        <v>0</v>
      </c>
      <c r="J42" s="123">
        <f t="shared" si="15"/>
        <v>0</v>
      </c>
      <c r="K42" s="129">
        <f t="shared" si="16"/>
        <v>7.0959816692636171E-3</v>
      </c>
      <c r="M42" s="128" t="s">
        <v>26</v>
      </c>
      <c r="N42" s="127">
        <f t="shared" si="17"/>
        <v>4018817.2237660689</v>
      </c>
      <c r="O42" s="126">
        <f t="shared" si="18"/>
        <v>0</v>
      </c>
      <c r="P42" s="125">
        <f t="shared" si="19"/>
        <v>588100.61393671809</v>
      </c>
      <c r="Q42" s="124">
        <f t="shared" si="20"/>
        <v>4606917.8377027865</v>
      </c>
      <c r="R42" s="123">
        <f t="shared" si="21"/>
        <v>1.1117350927186822E-2</v>
      </c>
      <c r="T42" s="109"/>
      <c r="U42" s="109"/>
      <c r="V42" s="109"/>
      <c r="W42" s="109"/>
      <c r="X42" s="109"/>
      <c r="Y42" s="109"/>
      <c r="Z42" s="109"/>
    </row>
    <row r="43" spans="1:26">
      <c r="A43" s="248">
        <v>70</v>
      </c>
      <c r="B43" s="128" t="s">
        <v>27</v>
      </c>
      <c r="C43" s="127"/>
      <c r="D43" s="126"/>
      <c r="E43" s="132">
        <f t="shared" si="11"/>
        <v>0</v>
      </c>
      <c r="F43" s="131">
        <f t="shared" si="12"/>
        <v>0</v>
      </c>
      <c r="G43" s="126"/>
      <c r="H43" s="159">
        <f t="shared" si="13"/>
        <v>0</v>
      </c>
      <c r="I43" s="130">
        <f t="shared" si="14"/>
        <v>0</v>
      </c>
      <c r="J43" s="123">
        <f t="shared" si="15"/>
        <v>0</v>
      </c>
      <c r="K43" s="129">
        <f t="shared" si="16"/>
        <v>0</v>
      </c>
      <c r="M43" s="128" t="s">
        <v>27</v>
      </c>
      <c r="N43" s="127">
        <f t="shared" si="17"/>
        <v>0</v>
      </c>
      <c r="O43" s="126">
        <f t="shared" si="18"/>
        <v>0</v>
      </c>
      <c r="P43" s="125">
        <f t="shared" si="19"/>
        <v>0</v>
      </c>
      <c r="Q43" s="124">
        <f t="shared" si="20"/>
        <v>0</v>
      </c>
      <c r="R43" s="123">
        <f t="shared" si="21"/>
        <v>0</v>
      </c>
      <c r="T43" s="109"/>
      <c r="U43" s="109"/>
      <c r="V43" s="109"/>
      <c r="W43" s="109"/>
      <c r="X43" s="109"/>
      <c r="Y43" s="109"/>
      <c r="Z43" s="109"/>
    </row>
    <row r="44" spans="1:26">
      <c r="A44" s="248">
        <v>50</v>
      </c>
      <c r="B44" s="128" t="s">
        <v>138</v>
      </c>
      <c r="C44" s="127">
        <v>1446609</v>
      </c>
      <c r="D44" s="126">
        <f>+VLOOKUP(A44,'COEF Art 14 F I'!A$7:D$57,4,)</f>
        <v>409925</v>
      </c>
      <c r="E44" s="132">
        <f t="shared" si="11"/>
        <v>0.2833695905389777</v>
      </c>
      <c r="F44" s="131">
        <f t="shared" si="12"/>
        <v>1.7550359051069268E-2</v>
      </c>
      <c r="G44" s="126">
        <v>378540</v>
      </c>
      <c r="H44" s="159">
        <f t="shared" si="13"/>
        <v>8.2910656733766519E-2</v>
      </c>
      <c r="I44" s="130">
        <f t="shared" si="14"/>
        <v>8.2910656733766519E-2</v>
      </c>
      <c r="J44" s="123">
        <f t="shared" si="15"/>
        <v>8.5411280201649967E-3</v>
      </c>
      <c r="K44" s="129">
        <f t="shared" si="16"/>
        <v>1.4143577243862969E-4</v>
      </c>
      <c r="M44" s="128" t="s">
        <v>138</v>
      </c>
      <c r="N44" s="127">
        <f t="shared" si="17"/>
        <v>3636345.6861264589</v>
      </c>
      <c r="O44" s="126">
        <f t="shared" si="18"/>
        <v>1061807.1325061084</v>
      </c>
      <c r="P44" s="125">
        <f t="shared" si="19"/>
        <v>11721.910861757326</v>
      </c>
      <c r="Q44" s="124">
        <f t="shared" si="20"/>
        <v>4709874.7294943249</v>
      </c>
      <c r="R44" s="123">
        <f t="shared" si="21"/>
        <v>1.1365805086071861E-2</v>
      </c>
      <c r="T44" s="109"/>
      <c r="U44" s="109"/>
      <c r="V44" s="109"/>
      <c r="W44" s="109"/>
      <c r="X44" s="109"/>
      <c r="Y44" s="109"/>
      <c r="Z44" s="109"/>
    </row>
    <row r="45" spans="1:26">
      <c r="A45" s="248">
        <v>51</v>
      </c>
      <c r="B45" s="128" t="s">
        <v>139</v>
      </c>
      <c r="C45" s="127">
        <v>118655999</v>
      </c>
      <c r="D45" s="126">
        <f>+VLOOKUP(A45,'COEF Art 14 F I'!A$7:D$57,4,)</f>
        <v>24732378.239999998</v>
      </c>
      <c r="E45" s="132">
        <f t="shared" si="11"/>
        <v>0.20843765547833784</v>
      </c>
      <c r="F45" s="131">
        <f t="shared" si="12"/>
        <v>1.2909485758334123E-2</v>
      </c>
      <c r="G45" s="126">
        <v>21534368.5</v>
      </c>
      <c r="H45" s="159">
        <f t="shared" si="13"/>
        <v>0.14850724505805668</v>
      </c>
      <c r="I45" s="130">
        <f t="shared" si="14"/>
        <v>0.14850724505805668</v>
      </c>
      <c r="J45" s="123">
        <f t="shared" si="15"/>
        <v>1.5298629174243366E-2</v>
      </c>
      <c r="K45" s="129">
        <f t="shared" si="16"/>
        <v>8.5333732283192215E-3</v>
      </c>
      <c r="M45" s="128" t="s">
        <v>139</v>
      </c>
      <c r="N45" s="127">
        <f t="shared" si="17"/>
        <v>2674780.1974210432</v>
      </c>
      <c r="O45" s="126">
        <f t="shared" si="18"/>
        <v>1901879.1822843836</v>
      </c>
      <c r="P45" s="125">
        <f t="shared" si="19"/>
        <v>707228.72020136984</v>
      </c>
      <c r="Q45" s="124">
        <f t="shared" si="20"/>
        <v>5283888.0999067966</v>
      </c>
      <c r="R45" s="123">
        <f t="shared" si="21"/>
        <v>1.2751006277103918E-2</v>
      </c>
      <c r="T45" s="109"/>
      <c r="U45" s="109"/>
      <c r="V45" s="109"/>
      <c r="W45" s="109"/>
      <c r="X45" s="109"/>
      <c r="Y45" s="109"/>
      <c r="Z45" s="109"/>
    </row>
    <row r="46" spans="1:26">
      <c r="A46" s="248">
        <v>52</v>
      </c>
      <c r="B46" s="128" t="s">
        <v>140</v>
      </c>
      <c r="C46" s="127">
        <v>8461471</v>
      </c>
      <c r="D46" s="126">
        <f>+VLOOKUP(A46,'COEF Art 14 F I'!A$7:D$57,4,)</f>
        <v>1668066</v>
      </c>
      <c r="E46" s="132">
        <f t="shared" si="11"/>
        <v>0.19713664444397433</v>
      </c>
      <c r="F46" s="131">
        <f t="shared" si="12"/>
        <v>1.2209563085206309E-2</v>
      </c>
      <c r="G46" s="126">
        <v>1244367</v>
      </c>
      <c r="H46" s="159">
        <f t="shared" si="13"/>
        <v>0.34049360036066534</v>
      </c>
      <c r="I46" s="130">
        <f t="shared" si="14"/>
        <v>0.34049360036066534</v>
      </c>
      <c r="J46" s="123">
        <f t="shared" si="15"/>
        <v>3.5076304365382463E-2</v>
      </c>
      <c r="K46" s="129">
        <f t="shared" si="16"/>
        <v>5.7553016573425693E-4</v>
      </c>
      <c r="M46" s="128" t="s">
        <v>140</v>
      </c>
      <c r="N46" s="127">
        <f t="shared" si="17"/>
        <v>2529759.7573466068</v>
      </c>
      <c r="O46" s="126">
        <f t="shared" si="18"/>
        <v>4360579.7816385804</v>
      </c>
      <c r="P46" s="125">
        <f t="shared" si="19"/>
        <v>47698.776516504469</v>
      </c>
      <c r="Q46" s="124">
        <f t="shared" si="20"/>
        <v>6938038.3155016918</v>
      </c>
      <c r="R46" s="123">
        <f t="shared" si="21"/>
        <v>1.6742778885364747E-2</v>
      </c>
      <c r="T46" s="109"/>
      <c r="U46" s="109"/>
      <c r="V46" s="109"/>
      <c r="W46" s="109"/>
      <c r="X46" s="109"/>
      <c r="Y46" s="109"/>
      <c r="Z46" s="109"/>
    </row>
    <row r="47" spans="1:26">
      <c r="A47" s="248">
        <v>53</v>
      </c>
      <c r="B47" s="128" t="s">
        <v>28</v>
      </c>
      <c r="C47" s="127">
        <v>1204547</v>
      </c>
      <c r="D47" s="126">
        <f>+VLOOKUP(A47,'COEF Art 14 F I'!A$7:D$57,4,)</f>
        <v>267154</v>
      </c>
      <c r="E47" s="132">
        <f t="shared" si="11"/>
        <v>0.22178794185698025</v>
      </c>
      <c r="F47" s="131">
        <f t="shared" si="12"/>
        <v>1.3736329312485871E-2</v>
      </c>
      <c r="G47" s="126">
        <v>290271</v>
      </c>
      <c r="H47" s="159">
        <f t="shared" si="13"/>
        <v>-7.9639371483889221E-2</v>
      </c>
      <c r="I47" s="130">
        <f t="shared" si="14"/>
        <v>0</v>
      </c>
      <c r="J47" s="123">
        <f t="shared" si="15"/>
        <v>0</v>
      </c>
      <c r="K47" s="129">
        <f t="shared" si="16"/>
        <v>9.2175720802755812E-5</v>
      </c>
      <c r="M47" s="128" t="s">
        <v>28</v>
      </c>
      <c r="N47" s="127">
        <f t="shared" si="17"/>
        <v>2846098.0025150641</v>
      </c>
      <c r="O47" s="126">
        <f t="shared" si="18"/>
        <v>0</v>
      </c>
      <c r="P47" s="125">
        <f t="shared" si="19"/>
        <v>7639.3373772322175</v>
      </c>
      <c r="Q47" s="124">
        <f t="shared" si="20"/>
        <v>2853737.3398922961</v>
      </c>
      <c r="R47" s="123">
        <f t="shared" si="21"/>
        <v>6.8865998004034867E-3</v>
      </c>
      <c r="T47" s="109"/>
      <c r="U47" s="109"/>
      <c r="V47" s="109"/>
      <c r="W47" s="109"/>
      <c r="X47" s="109"/>
      <c r="Y47" s="109"/>
      <c r="Z47" s="109"/>
    </row>
    <row r="48" spans="1:26">
      <c r="A48" s="248">
        <v>54</v>
      </c>
      <c r="B48" s="128" t="s">
        <v>29</v>
      </c>
      <c r="C48" s="127">
        <v>18543189</v>
      </c>
      <c r="D48" s="126">
        <f>+VLOOKUP(A48,'COEF Art 14 F I'!A$7:D$57,4,)</f>
        <v>7763840.4800000004</v>
      </c>
      <c r="E48" s="132">
        <f t="shared" si="11"/>
        <v>0.41868960511592695</v>
      </c>
      <c r="F48" s="131">
        <f t="shared" si="12"/>
        <v>2.5931338951220958E-2</v>
      </c>
      <c r="G48" s="126">
        <v>7908079.6500000004</v>
      </c>
      <c r="H48" s="159">
        <f t="shared" si="13"/>
        <v>-1.8239468541518811E-2</v>
      </c>
      <c r="I48" s="130">
        <f t="shared" si="14"/>
        <v>0</v>
      </c>
      <c r="J48" s="123">
        <f t="shared" si="15"/>
        <v>0</v>
      </c>
      <c r="K48" s="129">
        <f t="shared" si="16"/>
        <v>2.6787455641375901E-3</v>
      </c>
      <c r="M48" s="128" t="s">
        <v>29</v>
      </c>
      <c r="N48" s="127">
        <f t="shared" si="17"/>
        <v>5372842.35931403</v>
      </c>
      <c r="O48" s="126">
        <f t="shared" si="18"/>
        <v>0</v>
      </c>
      <c r="P48" s="125">
        <f t="shared" si="19"/>
        <v>222009.01640900949</v>
      </c>
      <c r="Q48" s="124">
        <f t="shared" si="20"/>
        <v>5594851.3757230397</v>
      </c>
      <c r="R48" s="123">
        <f t="shared" si="21"/>
        <v>1.3501418588438001E-2</v>
      </c>
      <c r="T48" s="109"/>
      <c r="U48" s="109"/>
      <c r="V48" s="109"/>
      <c r="W48" s="109"/>
      <c r="X48" s="109"/>
      <c r="Y48" s="109"/>
      <c r="Z48" s="109"/>
    </row>
    <row r="49" spans="1:26">
      <c r="A49" s="248">
        <v>55</v>
      </c>
      <c r="B49" s="128" t="s">
        <v>30</v>
      </c>
      <c r="C49" s="127">
        <v>165708544</v>
      </c>
      <c r="D49" s="126">
        <f>+VLOOKUP(A49,'COEF Art 14 F I'!A$7:D$57,4,)</f>
        <v>36493940.880000003</v>
      </c>
      <c r="E49" s="132">
        <f t="shared" si="11"/>
        <v>0.22022968761345221</v>
      </c>
      <c r="F49" s="131">
        <f t="shared" si="12"/>
        <v>1.363981958674306E-2</v>
      </c>
      <c r="G49" s="126">
        <v>23883804.280000001</v>
      </c>
      <c r="H49" s="159">
        <f t="shared" si="13"/>
        <v>0.52797856037363244</v>
      </c>
      <c r="I49" s="130">
        <f t="shared" si="14"/>
        <v>0.52797856037363244</v>
      </c>
      <c r="J49" s="123">
        <f t="shared" si="15"/>
        <v>5.4390263612723727E-2</v>
      </c>
      <c r="K49" s="129">
        <f t="shared" si="16"/>
        <v>1.2591446527273247E-2</v>
      </c>
      <c r="M49" s="128" t="s">
        <v>30</v>
      </c>
      <c r="N49" s="127">
        <f t="shared" si="17"/>
        <v>2826101.6751548704</v>
      </c>
      <c r="O49" s="126">
        <f t="shared" si="18"/>
        <v>6761632.6211864762</v>
      </c>
      <c r="P49" s="125">
        <f t="shared" si="19"/>
        <v>1043553.630516806</v>
      </c>
      <c r="Q49" s="124">
        <f t="shared" si="20"/>
        <v>10631287.926858153</v>
      </c>
      <c r="R49" s="123">
        <f t="shared" si="21"/>
        <v>2.56552781826433E-2</v>
      </c>
      <c r="T49" s="109"/>
      <c r="U49" s="109"/>
      <c r="V49" s="109"/>
      <c r="W49" s="109"/>
      <c r="X49" s="109"/>
      <c r="Y49" s="109"/>
      <c r="Z49" s="109"/>
    </row>
    <row r="50" spans="1:26">
      <c r="A50" s="248">
        <v>58</v>
      </c>
      <c r="B50" s="128" t="s">
        <v>141</v>
      </c>
      <c r="C50" s="127">
        <v>665856327</v>
      </c>
      <c r="D50" s="126">
        <f>+VLOOKUP(A50,'COEF Art 14 F I'!A$7:D$57,4,)</f>
        <v>353219962.69999999</v>
      </c>
      <c r="E50" s="132">
        <f t="shared" si="11"/>
        <v>0.53047474113736248</v>
      </c>
      <c r="F50" s="131">
        <f t="shared" si="12"/>
        <v>3.2854697488095982E-2</v>
      </c>
      <c r="G50" s="126">
        <v>330884619.5</v>
      </c>
      <c r="H50" s="159">
        <f t="shared" si="13"/>
        <v>6.7501908168928981E-2</v>
      </c>
      <c r="I50" s="130">
        <f t="shared" si="14"/>
        <v>6.7501908168928981E-2</v>
      </c>
      <c r="J50" s="123">
        <f t="shared" si="15"/>
        <v>6.9537796706588976E-3</v>
      </c>
      <c r="K50" s="129">
        <f t="shared" si="16"/>
        <v>0.12187092337676031</v>
      </c>
      <c r="M50" s="128" t="s">
        <v>141</v>
      </c>
      <c r="N50" s="127">
        <f t="shared" si="17"/>
        <v>6807327.2536580255</v>
      </c>
      <c r="O50" s="126">
        <f t="shared" si="18"/>
        <v>864472.7996992321</v>
      </c>
      <c r="P50" s="125">
        <f t="shared" si="19"/>
        <v>10100415.728151852</v>
      </c>
      <c r="Q50" s="124">
        <f t="shared" si="20"/>
        <v>17772215.781509109</v>
      </c>
      <c r="R50" s="123">
        <f t="shared" si="21"/>
        <v>4.2887667320597733E-2</v>
      </c>
      <c r="T50" s="109"/>
      <c r="U50" s="109"/>
      <c r="V50" s="109"/>
      <c r="W50" s="109"/>
      <c r="X50" s="109"/>
      <c r="Y50" s="109"/>
      <c r="Z50" s="109"/>
    </row>
    <row r="51" spans="1:26">
      <c r="A51" s="248">
        <v>31</v>
      </c>
      <c r="B51" s="128" t="s">
        <v>142</v>
      </c>
      <c r="C51" s="127">
        <v>1378432520</v>
      </c>
      <c r="D51" s="126">
        <f>+VLOOKUP(A51,'COEF Art 14 F I'!A$7:D$57,4,)</f>
        <v>868048268.77999997</v>
      </c>
      <c r="E51" s="132">
        <f t="shared" si="11"/>
        <v>0.62973577319548435</v>
      </c>
      <c r="F51" s="131">
        <f t="shared" si="12"/>
        <v>3.9002381680624441E-2</v>
      </c>
      <c r="G51" s="126">
        <v>722790593.99000001</v>
      </c>
      <c r="H51" s="159">
        <f t="shared" si="13"/>
        <v>0.20096785431052466</v>
      </c>
      <c r="I51" s="130">
        <f t="shared" si="14"/>
        <v>0.20096785431052466</v>
      </c>
      <c r="J51" s="123">
        <f t="shared" si="15"/>
        <v>2.0702913705241389E-2</v>
      </c>
      <c r="K51" s="129">
        <f t="shared" si="16"/>
        <v>0.29950131709194255</v>
      </c>
      <c r="M51" s="128" t="s">
        <v>142</v>
      </c>
      <c r="N51" s="127">
        <f t="shared" si="17"/>
        <v>8081096.3445420479</v>
      </c>
      <c r="O51" s="126">
        <f t="shared" si="18"/>
        <v>2573723.4454260194</v>
      </c>
      <c r="P51" s="125">
        <f t="shared" si="19"/>
        <v>24822063.622228276</v>
      </c>
      <c r="Q51" s="124">
        <f t="shared" si="20"/>
        <v>35476883.412196346</v>
      </c>
      <c r="R51" s="123">
        <f t="shared" si="21"/>
        <v>8.5612328370273175E-2</v>
      </c>
      <c r="T51" s="109"/>
      <c r="U51" s="109"/>
      <c r="V51" s="109"/>
      <c r="W51" s="109"/>
      <c r="X51" s="109"/>
      <c r="Y51" s="109"/>
      <c r="Z51" s="109"/>
    </row>
    <row r="52" spans="1:26">
      <c r="A52" s="248">
        <v>57</v>
      </c>
      <c r="B52" s="128" t="s">
        <v>31</v>
      </c>
      <c r="C52" s="127">
        <v>441398458</v>
      </c>
      <c r="D52" s="126">
        <f>+VLOOKUP(A52,'COEF Art 14 F I'!A$7:D$57,4,)</f>
        <v>202042327.25</v>
      </c>
      <c r="E52" s="132">
        <f t="shared" si="11"/>
        <v>0.45773229060532877</v>
      </c>
      <c r="F52" s="131">
        <f t="shared" si="12"/>
        <v>2.8349428864657605E-2</v>
      </c>
      <c r="G52" s="126">
        <v>126817695.59999999</v>
      </c>
      <c r="H52" s="159">
        <f t="shared" si="13"/>
        <v>0.59317141266522122</v>
      </c>
      <c r="I52" s="130">
        <f t="shared" si="14"/>
        <v>0.59317141266522122</v>
      </c>
      <c r="J52" s="123">
        <f t="shared" si="15"/>
        <v>6.1106173477123507E-2</v>
      </c>
      <c r="K52" s="129">
        <f t="shared" si="16"/>
        <v>6.9710343647989642E-2</v>
      </c>
      <c r="M52" s="128" t="s">
        <v>31</v>
      </c>
      <c r="N52" s="127">
        <f t="shared" si="17"/>
        <v>5873858.3670096407</v>
      </c>
      <c r="O52" s="126">
        <f t="shared" si="18"/>
        <v>7596534.1679671863</v>
      </c>
      <c r="P52" s="125">
        <f t="shared" si="19"/>
        <v>5777452.3396389671</v>
      </c>
      <c r="Q52" s="124">
        <f t="shared" si="20"/>
        <v>19247844.874615796</v>
      </c>
      <c r="R52" s="123">
        <f t="shared" si="21"/>
        <v>4.6448635205063794E-2</v>
      </c>
      <c r="T52" s="109"/>
      <c r="U52" s="109"/>
      <c r="V52" s="109"/>
      <c r="W52" s="109"/>
      <c r="X52" s="109"/>
      <c r="Y52" s="109"/>
      <c r="Z52" s="109"/>
    </row>
    <row r="53" spans="1:26">
      <c r="A53" s="248">
        <v>56</v>
      </c>
      <c r="B53" s="128" t="s">
        <v>32</v>
      </c>
      <c r="C53" s="127">
        <v>260135245</v>
      </c>
      <c r="D53" s="126">
        <f>+VLOOKUP(A53,'COEF Art 14 F I'!A$7:D$57,4,)</f>
        <v>109150868.86</v>
      </c>
      <c r="E53" s="132">
        <f t="shared" si="11"/>
        <v>0.41959277321302618</v>
      </c>
      <c r="F53" s="131">
        <f t="shared" si="12"/>
        <v>2.5987276232131779E-2</v>
      </c>
      <c r="G53" s="126">
        <v>94615002.860000014</v>
      </c>
      <c r="H53" s="159">
        <f t="shared" si="13"/>
        <v>0.15363172394031865</v>
      </c>
      <c r="I53" s="130">
        <f t="shared" si="14"/>
        <v>0.15363172394031865</v>
      </c>
      <c r="J53" s="123">
        <f t="shared" si="15"/>
        <v>1.5826532726021723E-2</v>
      </c>
      <c r="K53" s="129">
        <f t="shared" si="16"/>
        <v>3.7660151124136544E-2</v>
      </c>
      <c r="M53" s="128" t="s">
        <v>32</v>
      </c>
      <c r="N53" s="127">
        <f t="shared" si="17"/>
        <v>5384432.2811806891</v>
      </c>
      <c r="O53" s="126">
        <f t="shared" si="18"/>
        <v>1967506.5508509467</v>
      </c>
      <c r="P53" s="125">
        <f t="shared" si="19"/>
        <v>3121197.1830463707</v>
      </c>
      <c r="Q53" s="124">
        <f t="shared" si="20"/>
        <v>10473136.015078006</v>
      </c>
      <c r="R53" s="123">
        <f t="shared" si="21"/>
        <v>2.5273628158699719E-2</v>
      </c>
      <c r="T53" s="109"/>
      <c r="U53" s="109"/>
      <c r="V53" s="109"/>
      <c r="W53" s="109"/>
      <c r="X53" s="109"/>
      <c r="Y53" s="109"/>
      <c r="Z53" s="109"/>
    </row>
    <row r="54" spans="1:26">
      <c r="A54" s="248">
        <v>59</v>
      </c>
      <c r="B54" s="128" t="s">
        <v>33</v>
      </c>
      <c r="C54" s="127">
        <v>4746914</v>
      </c>
      <c r="D54" s="126">
        <f>+VLOOKUP(A54,'COEF Art 14 F I'!A$7:D$57,4,)</f>
        <v>1301773</v>
      </c>
      <c r="E54" s="132">
        <f t="shared" si="11"/>
        <v>0.27423564024964431</v>
      </c>
      <c r="F54" s="131">
        <f t="shared" si="12"/>
        <v>1.698465224100713E-2</v>
      </c>
      <c r="G54" s="126">
        <v>1178778</v>
      </c>
      <c r="H54" s="159">
        <f t="shared" si="13"/>
        <v>0.10434110578921563</v>
      </c>
      <c r="I54" s="130">
        <f t="shared" si="14"/>
        <v>0.10434110578921563</v>
      </c>
      <c r="J54" s="123">
        <f t="shared" si="15"/>
        <v>1.0748808143842865E-2</v>
      </c>
      <c r="K54" s="129">
        <f t="shared" si="16"/>
        <v>4.4914867303714654E-4</v>
      </c>
      <c r="M54" s="128" t="s">
        <v>33</v>
      </c>
      <c r="N54" s="127">
        <f t="shared" si="17"/>
        <v>3519134.0944777695</v>
      </c>
      <c r="O54" s="126">
        <f t="shared" si="18"/>
        <v>1336259.2301773764</v>
      </c>
      <c r="P54" s="125">
        <f t="shared" si="19"/>
        <v>37224.533922650291</v>
      </c>
      <c r="Q54" s="124">
        <f t="shared" si="20"/>
        <v>4892617.8585777953</v>
      </c>
      <c r="R54" s="123">
        <f t="shared" si="21"/>
        <v>1.1806798298263855E-2</v>
      </c>
      <c r="T54" s="109"/>
      <c r="U54" s="109"/>
      <c r="V54" s="109"/>
      <c r="W54" s="109"/>
      <c r="X54" s="109"/>
      <c r="Y54" s="109"/>
      <c r="Z54" s="109"/>
    </row>
    <row r="55" spans="1:26">
      <c r="A55" s="248">
        <v>60</v>
      </c>
      <c r="B55" s="128" t="s">
        <v>34</v>
      </c>
      <c r="C55" s="127">
        <v>3262285</v>
      </c>
      <c r="D55" s="126">
        <f>+VLOOKUP(A55,'COEF Art 14 F I'!A$7:D$57,4,)</f>
        <v>846367</v>
      </c>
      <c r="E55" s="132">
        <f t="shared" si="11"/>
        <v>0.25943993243999219</v>
      </c>
      <c r="F55" s="131">
        <f t="shared" si="12"/>
        <v>1.6068287206988472E-2</v>
      </c>
      <c r="G55" s="126">
        <v>668727</v>
      </c>
      <c r="H55" s="159">
        <f t="shared" si="13"/>
        <v>0.26563904253903314</v>
      </c>
      <c r="I55" s="130">
        <f t="shared" si="14"/>
        <v>0.26563904253903314</v>
      </c>
      <c r="J55" s="123">
        <f t="shared" si="15"/>
        <v>2.7365083800571489E-2</v>
      </c>
      <c r="K55" s="129">
        <f t="shared" si="16"/>
        <v>2.9202066332027982E-4</v>
      </c>
      <c r="M55" s="128" t="s">
        <v>34</v>
      </c>
      <c r="N55" s="127">
        <f t="shared" si="17"/>
        <v>3329267.8912465679</v>
      </c>
      <c r="O55" s="126">
        <f t="shared" si="18"/>
        <v>3401944.2270943574</v>
      </c>
      <c r="P55" s="125">
        <f t="shared" si="19"/>
        <v>24202.082162183237</v>
      </c>
      <c r="Q55" s="124">
        <f t="shared" si="20"/>
        <v>6755414.2005031081</v>
      </c>
      <c r="R55" s="123">
        <f t="shared" si="21"/>
        <v>1.6302072876329739E-2</v>
      </c>
      <c r="T55" s="109"/>
      <c r="U55" s="109"/>
      <c r="V55" s="109"/>
      <c r="W55" s="109"/>
      <c r="X55" s="109"/>
      <c r="Y55" s="109"/>
      <c r="Z55" s="109"/>
    </row>
    <row r="56" spans="1:26" ht="13.5" thickBot="1">
      <c r="B56" s="115" t="s">
        <v>35</v>
      </c>
      <c r="C56" s="122">
        <f>SUM(C5:C55)</f>
        <v>6827387891</v>
      </c>
      <c r="D56" s="121">
        <f>SUM(D5:D55)</f>
        <v>2898312024.8300004</v>
      </c>
      <c r="E56" s="120">
        <f>SUM(E5:E55)</f>
        <v>16.146085086601872</v>
      </c>
      <c r="F56" s="119">
        <f>SUM(F5:F55)</f>
        <v>1.0000000000000002</v>
      </c>
      <c r="G56" s="113">
        <f>SUM(G5:G55)</f>
        <v>2407468822.4100003</v>
      </c>
      <c r="H56" s="118"/>
      <c r="I56" s="117">
        <f>SUM(I5:I55)</f>
        <v>9.7072256191477688</v>
      </c>
      <c r="J56" s="110">
        <f>SUM(J5:J55)</f>
        <v>0.99999999999999978</v>
      </c>
      <c r="K56" s="116">
        <f>SUM(K5:K55)</f>
        <v>0.99999999999999978</v>
      </c>
      <c r="M56" s="115" t="s">
        <v>35</v>
      </c>
      <c r="N56" s="114">
        <f>SUM(N5:N55)</f>
        <v>207194945.44500002</v>
      </c>
      <c r="O56" s="113">
        <f>SUM(O5:O55)</f>
        <v>124316967.26699999</v>
      </c>
      <c r="P56" s="112">
        <f>SUM(P5:P55)</f>
        <v>82877978.178000003</v>
      </c>
      <c r="Q56" s="111">
        <f>SUM(Q5:Q55)</f>
        <v>414389890.88999993</v>
      </c>
      <c r="R56" s="110">
        <f>SUM(R5:R55)</f>
        <v>1.0000000000000002</v>
      </c>
      <c r="T56" s="109"/>
      <c r="U56" s="109"/>
      <c r="V56" s="109"/>
      <c r="W56" s="109"/>
      <c r="X56" s="109"/>
      <c r="Y56" s="109"/>
      <c r="Z56" s="109"/>
    </row>
    <row r="57" spans="1:26" ht="13.5" thickTop="1"/>
    <row r="59" spans="1:26">
      <c r="M59" s="310" t="s">
        <v>103</v>
      </c>
      <c r="N59" s="310"/>
      <c r="O59" s="310"/>
      <c r="P59" s="310"/>
      <c r="Q59" s="310"/>
      <c r="R59" s="310"/>
    </row>
    <row r="60" spans="1:26">
      <c r="M60" s="310"/>
      <c r="N60" s="310"/>
      <c r="O60" s="310"/>
      <c r="P60" s="310"/>
      <c r="Q60" s="310"/>
      <c r="R60" s="310"/>
    </row>
    <row r="61" spans="1:26">
      <c r="M61" s="310"/>
      <c r="N61" s="310"/>
      <c r="O61" s="310"/>
      <c r="P61" s="310"/>
      <c r="Q61" s="310"/>
      <c r="R61" s="310"/>
    </row>
    <row r="62" spans="1:26">
      <c r="M62" s="310"/>
      <c r="N62" s="310"/>
      <c r="O62" s="310"/>
      <c r="P62" s="310"/>
      <c r="Q62" s="310"/>
      <c r="R62" s="310"/>
    </row>
    <row r="63" spans="1:26">
      <c r="M63" s="310"/>
      <c r="N63" s="310"/>
      <c r="O63" s="310"/>
      <c r="P63" s="310"/>
      <c r="Q63" s="310"/>
      <c r="R63" s="310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5"/>
  <sheetViews>
    <sheetView showGridLines="0" workbookViewId="0"/>
  </sheetViews>
  <sheetFormatPr baseColWidth="10" defaultRowHeight="12.75"/>
  <cols>
    <col min="1" max="1" width="3" style="210" bestFit="1" customWidth="1"/>
    <col min="2" max="2" width="38.140625" style="210" customWidth="1"/>
    <col min="3" max="3" width="15" style="211" customWidth="1"/>
    <col min="4" max="4" width="15" style="210" customWidth="1"/>
    <col min="5" max="5" width="15" style="211" customWidth="1"/>
    <col min="6" max="16384" width="11.42578125" style="210"/>
  </cols>
  <sheetData>
    <row r="1" spans="1:5">
      <c r="B1" s="311" t="s">
        <v>181</v>
      </c>
      <c r="C1" s="311"/>
      <c r="D1" s="311"/>
      <c r="E1" s="311"/>
    </row>
    <row r="2" spans="1:5" ht="13.5" thickBot="1">
      <c r="B2" s="312" t="s">
        <v>206</v>
      </c>
      <c r="C2" s="312"/>
      <c r="D2" s="312"/>
      <c r="E2" s="312"/>
    </row>
    <row r="3" spans="1:5">
      <c r="B3" s="234" t="s">
        <v>182</v>
      </c>
      <c r="C3" s="235" t="s">
        <v>201</v>
      </c>
      <c r="D3" s="236" t="s">
        <v>183</v>
      </c>
      <c r="E3" s="237" t="s">
        <v>184</v>
      </c>
    </row>
    <row r="4" spans="1:5">
      <c r="A4" s="247">
        <v>15</v>
      </c>
      <c r="B4" s="238" t="s">
        <v>1</v>
      </c>
      <c r="C4" s="239">
        <v>297247.96999999997</v>
      </c>
      <c r="D4" s="240">
        <f t="shared" ref="D4:D54" si="0">+C4/C$55</f>
        <v>8.0520435530624296E-5</v>
      </c>
      <c r="E4" s="241">
        <f>+ROUND(D4*'PART 2023'!E$13,2)</f>
        <v>25507.87</v>
      </c>
    </row>
    <row r="5" spans="1:5">
      <c r="A5" s="247">
        <v>11</v>
      </c>
      <c r="B5" s="238" t="s">
        <v>2</v>
      </c>
      <c r="C5" s="239">
        <v>609337</v>
      </c>
      <c r="D5" s="242">
        <f t="shared" si="0"/>
        <v>1.6506111252811591E-4</v>
      </c>
      <c r="E5" s="241">
        <f>+ROUND(D5*'PART 2023'!E$13,2)</f>
        <v>52289.31</v>
      </c>
    </row>
    <row r="6" spans="1:5">
      <c r="A6" s="247">
        <v>12</v>
      </c>
      <c r="B6" s="238" t="s">
        <v>143</v>
      </c>
      <c r="C6" s="239">
        <v>0</v>
      </c>
      <c r="D6" s="242">
        <f t="shared" si="0"/>
        <v>0</v>
      </c>
      <c r="E6" s="241">
        <f>+ROUND(D6*'PART 2023'!E$13,2)</f>
        <v>0</v>
      </c>
    </row>
    <row r="7" spans="1:5">
      <c r="A7" s="247">
        <v>13</v>
      </c>
      <c r="B7" s="238" t="s">
        <v>3</v>
      </c>
      <c r="C7" s="239">
        <v>35039593.700000003</v>
      </c>
      <c r="D7" s="242">
        <f t="shared" si="0"/>
        <v>9.491749752034033E-3</v>
      </c>
      <c r="E7" s="241">
        <f>+ROUND(D7*'PART 2023'!E$13,2)</f>
        <v>3006868.15</v>
      </c>
    </row>
    <row r="8" spans="1:5">
      <c r="A8" s="247">
        <v>14</v>
      </c>
      <c r="B8" s="238" t="s">
        <v>144</v>
      </c>
      <c r="C8" s="239">
        <v>1969916.38</v>
      </c>
      <c r="D8" s="242">
        <f t="shared" si="0"/>
        <v>5.3362357655970135E-4</v>
      </c>
      <c r="E8" s="241">
        <f>+ROUND(D8*'PART 2023'!E$13,2)</f>
        <v>169045.31</v>
      </c>
    </row>
    <row r="9" spans="1:5">
      <c r="A9" s="247">
        <v>17</v>
      </c>
      <c r="B9" s="238" t="s">
        <v>4</v>
      </c>
      <c r="C9" s="239">
        <v>511706704.39999998</v>
      </c>
      <c r="D9" s="242">
        <f t="shared" si="0"/>
        <v>0.13861439222689537</v>
      </c>
      <c r="E9" s="241">
        <f>+ROUND(D9*'PART 2023'!E$13,2)</f>
        <v>43911313.759999998</v>
      </c>
    </row>
    <row r="10" spans="1:5">
      <c r="A10" s="247">
        <v>16</v>
      </c>
      <c r="B10" s="238" t="s">
        <v>5</v>
      </c>
      <c r="C10" s="239">
        <v>72685</v>
      </c>
      <c r="D10" s="242">
        <f t="shared" si="0"/>
        <v>1.9689378724919224E-5</v>
      </c>
      <c r="E10" s="241">
        <f>+ROUND(D10*'PART 2023'!E$13,2)</f>
        <v>6237.35</v>
      </c>
    </row>
    <row r="11" spans="1:5">
      <c r="A11" s="247">
        <v>18</v>
      </c>
      <c r="B11" s="238" t="s">
        <v>6</v>
      </c>
      <c r="C11" s="239">
        <v>1109875.3899999999</v>
      </c>
      <c r="D11" s="242">
        <f t="shared" si="0"/>
        <v>3.0065016015928217E-4</v>
      </c>
      <c r="E11" s="241">
        <f>+ROUND(D11*'PART 2023'!E$13,2)</f>
        <v>95242.23</v>
      </c>
    </row>
    <row r="12" spans="1:5">
      <c r="A12" s="247">
        <v>19</v>
      </c>
      <c r="B12" s="238" t="s">
        <v>128</v>
      </c>
      <c r="C12" s="239">
        <v>37217892</v>
      </c>
      <c r="D12" s="242">
        <f t="shared" si="0"/>
        <v>1.0081821158851777E-2</v>
      </c>
      <c r="E12" s="241">
        <f>+ROUND(D12*'PART 2023'!E$13,2)</f>
        <v>3193795.43</v>
      </c>
    </row>
    <row r="13" spans="1:5">
      <c r="A13" s="247">
        <v>20</v>
      </c>
      <c r="B13" s="238" t="s">
        <v>129</v>
      </c>
      <c r="C13" s="239">
        <v>17583367.030000001</v>
      </c>
      <c r="D13" s="242">
        <f t="shared" si="0"/>
        <v>4.7630951738725754E-3</v>
      </c>
      <c r="E13" s="241">
        <f>+ROUND(D13*'PART 2023'!E$13,2)</f>
        <v>1508889.25</v>
      </c>
    </row>
    <row r="14" spans="1:5">
      <c r="A14" s="247">
        <v>23</v>
      </c>
      <c r="B14" s="238" t="s">
        <v>130</v>
      </c>
      <c r="C14" s="239">
        <v>763495.97</v>
      </c>
      <c r="D14" s="242">
        <f t="shared" si="0"/>
        <v>2.0682068251055328E-4</v>
      </c>
      <c r="E14" s="241">
        <f>+ROUND(D14*'PART 2023'!E$13,2)</f>
        <v>65518.22</v>
      </c>
    </row>
    <row r="15" spans="1:5">
      <c r="A15" s="247">
        <v>21</v>
      </c>
      <c r="B15" s="238" t="s">
        <v>7</v>
      </c>
      <c r="C15" s="239">
        <v>1839645.86</v>
      </c>
      <c r="D15" s="242">
        <f t="shared" si="0"/>
        <v>4.9833506304285244E-4</v>
      </c>
      <c r="E15" s="241">
        <f>+ROUND(D15*'PART 2023'!E$13,2)</f>
        <v>157866.34</v>
      </c>
    </row>
    <row r="16" spans="1:5">
      <c r="A16" s="247">
        <v>22</v>
      </c>
      <c r="B16" s="238" t="s">
        <v>131</v>
      </c>
      <c r="C16" s="239">
        <v>44626623.109999999</v>
      </c>
      <c r="D16" s="242">
        <f t="shared" si="0"/>
        <v>1.2088745733329057E-2</v>
      </c>
      <c r="E16" s="241">
        <f>+ROUND(D16*'PART 2023'!E$13,2)</f>
        <v>3829564.15</v>
      </c>
    </row>
    <row r="17" spans="1:5">
      <c r="A17" s="247">
        <v>25</v>
      </c>
      <c r="B17" s="238" t="s">
        <v>8</v>
      </c>
      <c r="C17" s="239">
        <v>394530.73</v>
      </c>
      <c r="D17" s="242">
        <f t="shared" si="0"/>
        <v>1.0687301316074637E-4</v>
      </c>
      <c r="E17" s="241">
        <f>+ROUND(D17*'PART 2023'!E$13,2)</f>
        <v>33856.04</v>
      </c>
    </row>
    <row r="18" spans="1:5">
      <c r="A18" s="247">
        <v>27</v>
      </c>
      <c r="B18" s="238" t="s">
        <v>9</v>
      </c>
      <c r="C18" s="239">
        <v>57841.1</v>
      </c>
      <c r="D18" s="242">
        <f t="shared" si="0"/>
        <v>1.5668367940646975E-5</v>
      </c>
      <c r="E18" s="241">
        <f>+ROUND(D18*'PART 2023'!E$13,2)</f>
        <v>4963.54</v>
      </c>
    </row>
    <row r="19" spans="1:5">
      <c r="A19" s="247">
        <v>26</v>
      </c>
      <c r="B19" s="238" t="s">
        <v>132</v>
      </c>
      <c r="C19" s="239">
        <v>1918609.57</v>
      </c>
      <c r="D19" s="242">
        <f t="shared" si="0"/>
        <v>5.1972525898031805E-4</v>
      </c>
      <c r="E19" s="241">
        <f>+ROUND(D19*'PART 2023'!E$13,2)</f>
        <v>164642.49</v>
      </c>
    </row>
    <row r="20" spans="1:5">
      <c r="A20" s="247">
        <v>29</v>
      </c>
      <c r="B20" s="238" t="s">
        <v>10</v>
      </c>
      <c r="C20" s="239">
        <v>1175132.01</v>
      </c>
      <c r="D20" s="242">
        <f t="shared" si="0"/>
        <v>3.1832729169244773E-4</v>
      </c>
      <c r="E20" s="241">
        <f>+ROUND(D20*'PART 2023'!E$13,2)</f>
        <v>100842.12</v>
      </c>
    </row>
    <row r="21" spans="1:5">
      <c r="A21" s="247">
        <v>30</v>
      </c>
      <c r="B21" s="238" t="s">
        <v>133</v>
      </c>
      <c r="C21" s="239">
        <v>316480074.45999998</v>
      </c>
      <c r="D21" s="242">
        <f t="shared" si="0"/>
        <v>8.5730151268261334E-2</v>
      </c>
      <c r="E21" s="241">
        <f>+ROUND(D21*'PART 2023'!E$13,2)</f>
        <v>27158244.620000001</v>
      </c>
    </row>
    <row r="22" spans="1:5">
      <c r="A22" s="247">
        <v>32</v>
      </c>
      <c r="B22" s="238" t="s">
        <v>11</v>
      </c>
      <c r="C22" s="239">
        <v>475214.99</v>
      </c>
      <c r="D22" s="242">
        <f t="shared" si="0"/>
        <v>1.2872928271127058E-4</v>
      </c>
      <c r="E22" s="241">
        <f>+ROUND(D22*'PART 2023'!E$13,2)</f>
        <v>40779.83</v>
      </c>
    </row>
    <row r="23" spans="1:5">
      <c r="A23" s="247">
        <v>33</v>
      </c>
      <c r="B23" s="238" t="s">
        <v>12</v>
      </c>
      <c r="C23" s="239">
        <v>162966143.88</v>
      </c>
      <c r="D23" s="242">
        <f t="shared" si="0"/>
        <v>4.4145313698741105E-2</v>
      </c>
      <c r="E23" s="241">
        <f>+ROUND(D23*'PART 2023'!E$13,2)</f>
        <v>13984685.789999999</v>
      </c>
    </row>
    <row r="24" spans="1:5">
      <c r="A24" s="247">
        <v>34</v>
      </c>
      <c r="B24" s="238" t="s">
        <v>134</v>
      </c>
      <c r="C24" s="239">
        <v>6917930.9900000002</v>
      </c>
      <c r="D24" s="242">
        <f t="shared" si="0"/>
        <v>1.8739734918479106E-3</v>
      </c>
      <c r="E24" s="241">
        <f>+ROUND(D24*'PART 2023'!E$13,2)</f>
        <v>593651.47</v>
      </c>
    </row>
    <row r="25" spans="1:5">
      <c r="A25" s="247">
        <v>35</v>
      </c>
      <c r="B25" s="238" t="s">
        <v>13</v>
      </c>
      <c r="C25" s="239">
        <v>133500.34</v>
      </c>
      <c r="D25" s="242">
        <f t="shared" si="0"/>
        <v>3.6163427862220303E-5</v>
      </c>
      <c r="E25" s="241">
        <f>+ROUND(D25*'PART 2023'!E$13,2)</f>
        <v>11456.12</v>
      </c>
    </row>
    <row r="26" spans="1:5">
      <c r="A26" s="247">
        <v>61</v>
      </c>
      <c r="B26" s="238" t="s">
        <v>14</v>
      </c>
      <c r="C26" s="239">
        <v>49480</v>
      </c>
      <c r="D26" s="242">
        <f t="shared" si="0"/>
        <v>1.3403459576377563E-5</v>
      </c>
      <c r="E26" s="241">
        <f>+ROUND(D26*'PART 2023'!E$13,2)</f>
        <v>4246.05</v>
      </c>
    </row>
    <row r="27" spans="1:5">
      <c r="A27" s="247">
        <v>36</v>
      </c>
      <c r="B27" s="238" t="s">
        <v>15</v>
      </c>
      <c r="C27" s="239">
        <v>22405467.289999999</v>
      </c>
      <c r="D27" s="242">
        <f t="shared" si="0"/>
        <v>6.069336602897428E-3</v>
      </c>
      <c r="E27" s="241">
        <f>+ROUND(D27*'PART 2023'!E$13,2)</f>
        <v>1922690.27</v>
      </c>
    </row>
    <row r="28" spans="1:5">
      <c r="A28" s="247">
        <v>28</v>
      </c>
      <c r="B28" s="238" t="s">
        <v>16</v>
      </c>
      <c r="C28" s="239">
        <v>203616495.72</v>
      </c>
      <c r="D28" s="242">
        <f t="shared" si="0"/>
        <v>5.5156941581784059E-2</v>
      </c>
      <c r="E28" s="241">
        <f>+ROUND(D28*'PART 2023'!E$13,2)</f>
        <v>17473032.41</v>
      </c>
    </row>
    <row r="29" spans="1:5">
      <c r="A29" s="247">
        <v>37</v>
      </c>
      <c r="B29" s="238" t="s">
        <v>135</v>
      </c>
      <c r="C29" s="239">
        <v>56896.27</v>
      </c>
      <c r="D29" s="242">
        <f t="shared" si="0"/>
        <v>1.5412426333703788E-5</v>
      </c>
      <c r="E29" s="241">
        <f>+ROUND(D29*'PART 2023'!E$13,2)</f>
        <v>4882.46</v>
      </c>
    </row>
    <row r="30" spans="1:5">
      <c r="A30" s="247">
        <v>39</v>
      </c>
      <c r="B30" s="238" t="s">
        <v>17</v>
      </c>
      <c r="C30" s="239">
        <v>181488.24</v>
      </c>
      <c r="D30" s="242">
        <f t="shared" si="0"/>
        <v>4.9162697825948049E-5</v>
      </c>
      <c r="E30" s="241">
        <f>+ROUND(D30*'PART 2023'!E$13,2)</f>
        <v>15574.13</v>
      </c>
    </row>
    <row r="31" spans="1:5">
      <c r="A31" s="247">
        <v>38</v>
      </c>
      <c r="B31" s="238" t="s">
        <v>18</v>
      </c>
      <c r="C31" s="239">
        <v>283715.78000000003</v>
      </c>
      <c r="D31" s="242">
        <f t="shared" si="0"/>
        <v>7.6854749159467066E-5</v>
      </c>
      <c r="E31" s="241">
        <f>+ROUND(D31*'PART 2023'!E$13,2)</f>
        <v>24346.63</v>
      </c>
    </row>
    <row r="32" spans="1:5">
      <c r="A32" s="247">
        <v>40</v>
      </c>
      <c r="B32" s="238" t="s">
        <v>19</v>
      </c>
      <c r="C32" s="239">
        <v>395602.13</v>
      </c>
      <c r="D32" s="242">
        <f t="shared" si="0"/>
        <v>1.0716324086062777E-4</v>
      </c>
      <c r="E32" s="241">
        <f>+ROUND(D32*'PART 2023'!E$13,2)</f>
        <v>33947.980000000003</v>
      </c>
    </row>
    <row r="33" spans="1:5">
      <c r="A33" s="247">
        <v>41</v>
      </c>
      <c r="B33" s="238" t="s">
        <v>20</v>
      </c>
      <c r="C33" s="239">
        <v>50562</v>
      </c>
      <c r="D33" s="242">
        <f t="shared" si="0"/>
        <v>1.3696558672207001E-5</v>
      </c>
      <c r="E33" s="241">
        <f>+ROUND(D33*'PART 2023'!E$13,2)</f>
        <v>4338.8999999999996</v>
      </c>
    </row>
    <row r="34" spans="1:5">
      <c r="A34" s="247">
        <v>42</v>
      </c>
      <c r="B34" s="238" t="s">
        <v>136</v>
      </c>
      <c r="C34" s="239">
        <v>91985471.849999994</v>
      </c>
      <c r="D34" s="242">
        <f t="shared" si="0"/>
        <v>2.4917614259407663E-2</v>
      </c>
      <c r="E34" s="241">
        <f>+ROUND(D34*'PART 2023'!E$13,2)</f>
        <v>7893589.9800000004</v>
      </c>
    </row>
    <row r="35" spans="1:5">
      <c r="A35" s="247">
        <v>43</v>
      </c>
      <c r="B35" s="238" t="s">
        <v>21</v>
      </c>
      <c r="C35" s="239">
        <v>549855.99</v>
      </c>
      <c r="D35" s="242">
        <f t="shared" si="0"/>
        <v>1.489485152545284E-4</v>
      </c>
      <c r="E35" s="241">
        <f>+ROUND(D35*'PART 2023'!E$13,2)</f>
        <v>47185.04</v>
      </c>
    </row>
    <row r="36" spans="1:5">
      <c r="A36" s="247">
        <v>44</v>
      </c>
      <c r="B36" s="238" t="s">
        <v>22</v>
      </c>
      <c r="C36" s="239">
        <v>12436723.25</v>
      </c>
      <c r="D36" s="242">
        <f t="shared" si="0"/>
        <v>3.3689393157633387E-3</v>
      </c>
      <c r="E36" s="241">
        <f>+ROUND(D36*'PART 2023'!E$13,2)</f>
        <v>1067238.03</v>
      </c>
    </row>
    <row r="37" spans="1:5">
      <c r="A37" s="247">
        <v>46</v>
      </c>
      <c r="B37" s="238" t="s">
        <v>137</v>
      </c>
      <c r="C37" s="239">
        <v>12650165.189999999</v>
      </c>
      <c r="D37" s="242">
        <f t="shared" si="0"/>
        <v>3.4267578366746886E-3</v>
      </c>
      <c r="E37" s="241">
        <f>+ROUND(D37*'PART 2023'!E$13,2)</f>
        <v>1085554.22</v>
      </c>
    </row>
    <row r="38" spans="1:5">
      <c r="A38" s="247">
        <v>49</v>
      </c>
      <c r="B38" s="238" t="s">
        <v>23</v>
      </c>
      <c r="C38" s="239">
        <v>151537.84</v>
      </c>
      <c r="D38" s="242">
        <f t="shared" si="0"/>
        <v>4.1049541486086722E-5</v>
      </c>
      <c r="E38" s="241">
        <f>+ROUND(D38*'PART 2023'!E$13,2)</f>
        <v>13003.98</v>
      </c>
    </row>
    <row r="39" spans="1:5">
      <c r="A39" s="247">
        <v>48</v>
      </c>
      <c r="B39" s="238" t="s">
        <v>24</v>
      </c>
      <c r="C39" s="239">
        <v>4717.08</v>
      </c>
      <c r="D39" s="242">
        <f t="shared" si="0"/>
        <v>1.2777928677958585E-6</v>
      </c>
      <c r="E39" s="241">
        <f>+ROUND(D39*'PART 2023'!E$13,2)</f>
        <v>404.79</v>
      </c>
    </row>
    <row r="40" spans="1:5">
      <c r="A40" s="247">
        <v>47</v>
      </c>
      <c r="B40" s="238" t="s">
        <v>25</v>
      </c>
      <c r="C40" s="239">
        <v>274766</v>
      </c>
      <c r="D40" s="242">
        <f t="shared" si="0"/>
        <v>7.4430375383244905E-5</v>
      </c>
      <c r="E40" s="241">
        <f>+ROUND(D40*'PART 2023'!E$13,2)</f>
        <v>23578.62</v>
      </c>
    </row>
    <row r="41" spans="1:5">
      <c r="A41" s="247">
        <v>45</v>
      </c>
      <c r="B41" s="238" t="s">
        <v>26</v>
      </c>
      <c r="C41" s="239">
        <v>43556496.25</v>
      </c>
      <c r="D41" s="242">
        <f t="shared" si="0"/>
        <v>1.1798862909771947E-2</v>
      </c>
      <c r="E41" s="241">
        <f>+ROUND(D41*'PART 2023'!E$13,2)</f>
        <v>3737732.88</v>
      </c>
    </row>
    <row r="42" spans="1:5">
      <c r="A42" s="247">
        <v>70</v>
      </c>
      <c r="B42" s="238" t="s">
        <v>27</v>
      </c>
      <c r="C42" s="239">
        <v>918119421</v>
      </c>
      <c r="D42" s="242">
        <f t="shared" si="0"/>
        <v>0.24870607408368378</v>
      </c>
      <c r="E42" s="241">
        <f>+ROUND(D42*'PART 2023'!E$13,2)</f>
        <v>78786987.980000004</v>
      </c>
    </row>
    <row r="43" spans="1:5">
      <c r="A43" s="247">
        <v>50</v>
      </c>
      <c r="B43" s="238" t="s">
        <v>138</v>
      </c>
      <c r="C43" s="239">
        <v>381613.55</v>
      </c>
      <c r="D43" s="242">
        <f t="shared" si="0"/>
        <v>1.0337392464072227E-4</v>
      </c>
      <c r="E43" s="241">
        <f>+ROUND(D43*'PART 2023'!E$13,2)</f>
        <v>32747.57</v>
      </c>
    </row>
    <row r="44" spans="1:5">
      <c r="A44" s="247">
        <v>51</v>
      </c>
      <c r="B44" s="238" t="s">
        <v>139</v>
      </c>
      <c r="C44" s="239">
        <v>74273002.030000001</v>
      </c>
      <c r="D44" s="242">
        <f t="shared" si="0"/>
        <v>2.0119546894206017E-2</v>
      </c>
      <c r="E44" s="241">
        <f>+ROUND(D44*'PART 2023'!E$13,2)</f>
        <v>6373621.9800000004</v>
      </c>
    </row>
    <row r="45" spans="1:5">
      <c r="A45" s="247">
        <v>52</v>
      </c>
      <c r="B45" s="238" t="s">
        <v>140</v>
      </c>
      <c r="C45" s="239">
        <v>1222989.4099999999</v>
      </c>
      <c r="D45" s="242">
        <f t="shared" si="0"/>
        <v>3.3129121097964521E-4</v>
      </c>
      <c r="E45" s="241">
        <f>+ROUND(D45*'PART 2023'!E$13,2)</f>
        <v>104948.93</v>
      </c>
    </row>
    <row r="46" spans="1:5">
      <c r="A46" s="247">
        <v>53</v>
      </c>
      <c r="B46" s="238" t="s">
        <v>28</v>
      </c>
      <c r="C46" s="239">
        <v>83663</v>
      </c>
      <c r="D46" s="242">
        <f t="shared" si="0"/>
        <v>2.2663169736024172E-5</v>
      </c>
      <c r="E46" s="241">
        <f>+ROUND(D46*'PART 2023'!E$13,2)</f>
        <v>7179.41</v>
      </c>
    </row>
    <row r="47" spans="1:5">
      <c r="A47" s="247">
        <v>54</v>
      </c>
      <c r="B47" s="238" t="s">
        <v>29</v>
      </c>
      <c r="C47" s="239">
        <v>3661490.91</v>
      </c>
      <c r="D47" s="242">
        <f t="shared" si="0"/>
        <v>9.9184812856626726E-4</v>
      </c>
      <c r="E47" s="241">
        <f>+ROUND(D47*'PART 2023'!E$13,2)</f>
        <v>314205.14</v>
      </c>
    </row>
    <row r="48" spans="1:5">
      <c r="A48" s="247">
        <v>55</v>
      </c>
      <c r="B48" s="238" t="s">
        <v>30</v>
      </c>
      <c r="C48" s="239">
        <v>79016556.980000004</v>
      </c>
      <c r="D48" s="242">
        <f t="shared" si="0"/>
        <v>2.1404511466167429E-2</v>
      </c>
      <c r="E48" s="241">
        <f>+ROUND(D48*'PART 2023'!E$13,2)</f>
        <v>6780682.75</v>
      </c>
    </row>
    <row r="49" spans="1:5">
      <c r="A49" s="247">
        <v>58</v>
      </c>
      <c r="B49" s="238" t="s">
        <v>141</v>
      </c>
      <c r="C49" s="239">
        <v>135594272</v>
      </c>
      <c r="D49" s="242">
        <f t="shared" si="0"/>
        <v>3.6730645584889733E-2</v>
      </c>
      <c r="E49" s="241">
        <f>+ROUND(D49*'PART 2023'!E$13,2)</f>
        <v>11635811.24</v>
      </c>
    </row>
    <row r="50" spans="1:5">
      <c r="A50" s="247">
        <v>31</v>
      </c>
      <c r="B50" s="238" t="s">
        <v>142</v>
      </c>
      <c r="C50" s="239">
        <v>573157470.60000002</v>
      </c>
      <c r="D50" s="242">
        <f t="shared" si="0"/>
        <v>0.15526056968645741</v>
      </c>
      <c r="E50" s="241">
        <f>+ROUND(D50*'PART 2023'!E$13,2)</f>
        <v>49184615.539999999</v>
      </c>
    </row>
    <row r="51" spans="1:5">
      <c r="A51" s="247">
        <v>57</v>
      </c>
      <c r="B51" s="238" t="s">
        <v>31</v>
      </c>
      <c r="C51" s="239">
        <v>224854678.83000001</v>
      </c>
      <c r="D51" s="242">
        <f t="shared" si="0"/>
        <v>6.0910076763485553E-2</v>
      </c>
      <c r="E51" s="241">
        <f>+ROUND(D51*'PART 2023'!E$13,2)</f>
        <v>19295554.010000002</v>
      </c>
    </row>
    <row r="52" spans="1:5">
      <c r="A52" s="247">
        <v>56</v>
      </c>
      <c r="B52" s="238" t="s">
        <v>32</v>
      </c>
      <c r="C52" s="239">
        <v>146566590</v>
      </c>
      <c r="D52" s="242">
        <f t="shared" si="0"/>
        <v>3.9702897419411964E-2</v>
      </c>
      <c r="E52" s="241">
        <f>+ROUND(D52*'PART 2023'!E$13,2)</f>
        <v>12577383.619999999</v>
      </c>
    </row>
    <row r="53" spans="1:5">
      <c r="A53" s="247">
        <v>59</v>
      </c>
      <c r="B53" s="238" t="s">
        <v>33</v>
      </c>
      <c r="C53" s="239">
        <v>2389868.13</v>
      </c>
      <c r="D53" s="242">
        <f t="shared" si="0"/>
        <v>6.4738279857170654E-4</v>
      </c>
      <c r="E53" s="241">
        <f>+ROUND(D53*'PART 2023'!E$13,2)</f>
        <v>205082.81</v>
      </c>
    </row>
    <row r="54" spans="1:5">
      <c r="A54" s="247">
        <v>60</v>
      </c>
      <c r="B54" s="238" t="s">
        <v>34</v>
      </c>
      <c r="C54" s="239">
        <v>257810.83</v>
      </c>
      <c r="D54" s="242">
        <f t="shared" si="0"/>
        <v>6.9837450247723276E-5</v>
      </c>
      <c r="E54" s="241">
        <f>+ROUND(D54*'PART 2023'!E$13,2)</f>
        <v>22123.63</v>
      </c>
    </row>
    <row r="55" spans="1:5" ht="13.5" thickBot="1">
      <c r="B55" s="243" t="s">
        <v>185</v>
      </c>
      <c r="C55" s="244">
        <f>+SUM(C4:C54)</f>
        <v>3691584230.0300002</v>
      </c>
      <c r="D55" s="245">
        <f>SUM(D4:D54)</f>
        <v>0.99999999999999989</v>
      </c>
      <c r="E55" s="246">
        <f>SUM(E4:E54)</f>
        <v>316787550.37</v>
      </c>
    </row>
  </sheetData>
  <mergeCells count="2">
    <mergeCell ref="B1:E1"/>
    <mergeCell ref="B2:E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Header>&amp;L
&amp;C&amp;"-,Negrita"&amp;12COORDINACIÓN DE PLANEACIÓN HACENDARIA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PART 2023</vt:lpstr>
      <vt:lpstr>Distr Def</vt:lpstr>
      <vt:lpstr>Distr Prov</vt:lpstr>
      <vt:lpstr>COEF Art 14 F I</vt:lpstr>
      <vt:lpstr>PISO 2021</vt:lpstr>
      <vt:lpstr>Copete</vt:lpstr>
      <vt:lpstr>COEF Art 14 F II</vt:lpstr>
      <vt:lpstr>Art.14 Frac.III</vt:lpstr>
      <vt:lpstr>ISR BI</vt:lpstr>
      <vt:lpstr>Anexo VI</vt:lpstr>
      <vt:lpstr>Anexo VI (2)</vt:lpstr>
      <vt:lpstr>'Anexo VI'!Área_de_impresión</vt:lpstr>
      <vt:lpstr>'Art.14 Frac.III'!Área_de_impresión</vt:lpstr>
      <vt:lpstr>'COEF Art 14 F I'!Área_de_impresión</vt:lpstr>
      <vt:lpstr>'COEF Art 14 F II'!Área_de_impresión</vt:lpstr>
      <vt:lpstr>Copete!Área_de_impresión</vt:lpstr>
      <vt:lpstr>'Distr Def'!Área_de_impresión</vt:lpstr>
      <vt:lpstr>'Distr Prov'!Área_de_impresión</vt:lpstr>
      <vt:lpstr>'ISR BI'!Área_de_impresión</vt:lpstr>
      <vt:lpstr>'PART 2023'!Área_de_impresión</vt:lpstr>
      <vt:lpstr>'PISO 2021'!Área_de_impresión</vt:lpstr>
      <vt:lpstr>'COEF Art 14 F I'!Títulos_a_imprimir</vt:lpstr>
      <vt:lpstr>'Distr Def'!Títulos_a_imprimir</vt:lpstr>
      <vt:lpstr>'Distr Prov'!Títulos_a_imprimir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Gabriel Rivera Cantu</cp:lastModifiedBy>
  <cp:lastPrinted>2024-02-09T19:19:28Z</cp:lastPrinted>
  <dcterms:created xsi:type="dcterms:W3CDTF">2009-12-17T23:31:03Z</dcterms:created>
  <dcterms:modified xsi:type="dcterms:W3CDTF">2024-02-09T19:19:38Z</dcterms:modified>
</cp:coreProperties>
</file>