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CUERDO PARTICIPACIONES\"/>
    </mc:Choice>
  </mc:AlternateContent>
  <bookViews>
    <workbookView xWindow="0" yWindow="0" windowWidth="24000" windowHeight="9615" activeTab="1"/>
  </bookViews>
  <sheets>
    <sheet name="PART 2025" sheetId="43" r:id="rId1"/>
    <sheet name="Dist" sheetId="51" r:id="rId2"/>
    <sheet name="COEF Art 14 F I" sheetId="1" r:id="rId3"/>
    <sheet name="PISO 2021" sheetId="28" r:id="rId4"/>
    <sheet name="Copete" sheetId="52" r:id="rId5"/>
    <sheet name="COEF Art 14 F II" sheetId="36" r:id="rId6"/>
    <sheet name="Art.14 Frac.III" sheetId="44" r:id="rId7"/>
    <sheet name="ISR BI" sheetId="4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xlnm._FilterDatabase" localSheetId="1" hidden="1">Dist!#REF!</definedName>
    <definedName name="_pre2004" hidden="1">{"'beneficiarios'!$A$1:$C$7"}</definedName>
    <definedName name="A_impresión_IM" localSheetId="5">#REF!</definedName>
    <definedName name="A_impresión_IM" localSheetId="4">#REF!</definedName>
    <definedName name="A_impresión_IM" localSheetId="1">#REF!</definedName>
    <definedName name="A_impresión_IM" localSheetId="7">#REF!</definedName>
    <definedName name="A_impresión_IM" localSheetId="0">#REF!</definedName>
    <definedName name="A_impresión_IM" localSheetId="3">#REF!</definedName>
    <definedName name="A_impresión_IM">#REF!</definedName>
    <definedName name="Adria" hidden="1">{"'beneficiarios'!$A$1:$C$7"}</definedName>
    <definedName name="AJUSTES" localSheetId="4" hidden="1">{"'beneficiarios'!$A$1:$C$7"}</definedName>
    <definedName name="AJUSTES" localSheetId="1" hidden="1">{"'beneficiarios'!$A$1:$C$7"}</definedName>
    <definedName name="AJUSTES" localSheetId="7" hidden="1">{"'beneficiarios'!$A$1:$C$7"}</definedName>
    <definedName name="AJUSTES" localSheetId="0" hidden="1">{"'beneficiarios'!$A$1:$C$7"}</definedName>
    <definedName name="AJUSTES" localSheetId="3" hidden="1">{"'beneficiarios'!$A$1:$C$7"}</definedName>
    <definedName name="AJUSTES" hidden="1">{"'beneficiarios'!$A$1:$C$7"}</definedName>
    <definedName name="_xlnm.Print_Area" localSheetId="6">'Art.14 Frac.III'!$B$1:$P$56</definedName>
    <definedName name="_xlnm.Print_Area" localSheetId="2">'COEF Art 14 F I'!$B$1:$AD$58</definedName>
    <definedName name="_xlnm.Print_Area" localSheetId="5">'COEF Art 14 F II'!$B$3:$L$61</definedName>
    <definedName name="_xlnm.Print_Area" localSheetId="4">Copete!$B$1:$H$59</definedName>
    <definedName name="_xlnm.Print_Area" localSheetId="1">Dist!$B$4:$L$56</definedName>
    <definedName name="_xlnm.Print_Area" localSheetId="7">'ISR BI'!$B$1:$E$55</definedName>
    <definedName name="_xlnm.Print_Area" localSheetId="0">'PART 2025'!$A$1:$F$15</definedName>
    <definedName name="_xlnm.Print_Area" localSheetId="3">'PISO 2021'!$B$1:$Q$56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 localSheetId="7">#REF!</definedName>
    <definedName name="_xlnm.Database" localSheetId="0">#REF!</definedName>
    <definedName name="_xlnm.Database" localSheetId="3">#REF!</definedName>
    <definedName name="_xlnm.Database">#REF!</definedName>
    <definedName name="cierre_2001" localSheetId="5">'[1]deuda c sadm'!#REF!</definedName>
    <definedName name="cierre_2001" localSheetId="4">'[1]deuda c sadm'!#REF!</definedName>
    <definedName name="cierre_2001" localSheetId="1">'[1]deuda c sadm'!#REF!</definedName>
    <definedName name="cierre_2001" localSheetId="7">'[1]deuda c sadm'!#REF!</definedName>
    <definedName name="cierre_2001" localSheetId="0">'[1]deuda c sadm'!#REF!</definedName>
    <definedName name="cierre_2001">'[1]deuda c sadm'!#REF!</definedName>
    <definedName name="deuda" localSheetId="5">'[1]deuda c sadm'!#REF!</definedName>
    <definedName name="deuda" localSheetId="4">'[1]deuda c sadm'!#REF!</definedName>
    <definedName name="deuda" localSheetId="1">'[1]deuda c sadm'!#REF!</definedName>
    <definedName name="deuda" localSheetId="7">'[1]deuda c sadm'!#REF!</definedName>
    <definedName name="deuda" localSheetId="0">'[1]deuda c sadm'!#REF!</definedName>
    <definedName name="deuda">'[1]deuda c sadm'!#REF!</definedName>
    <definedName name="Deuda_ingTot" localSheetId="5">'[1]deuda c sadm'!#REF!</definedName>
    <definedName name="Deuda_ingTot" localSheetId="4">'[1]deuda c sadm'!#REF!</definedName>
    <definedName name="Deuda_ingTot" localSheetId="1">'[1]deuda c sadm'!#REF!</definedName>
    <definedName name="Deuda_ingTot" localSheetId="7">'[1]deuda c sadm'!#REF!</definedName>
    <definedName name="Deuda_ingTot" localSheetId="0">'[1]deuda c sadm'!#REF!</definedName>
    <definedName name="Deuda_ingTot">'[1]deuda c sadm'!#REF!</definedName>
    <definedName name="eeee" hidden="1">{"'beneficiarios'!$A$1:$C$7"}</definedName>
    <definedName name="ENERO" localSheetId="5">#REF!</definedName>
    <definedName name="ENERO" localSheetId="4">#REF!</definedName>
    <definedName name="ENERO" localSheetId="1">#REF!</definedName>
    <definedName name="ENERO" localSheetId="7">#REF!</definedName>
    <definedName name="ENERO" localSheetId="0">#REF!</definedName>
    <definedName name="ENERO" localSheetId="3">#REF!</definedName>
    <definedName name="ENERO">#REF!</definedName>
    <definedName name="ENEROAJUSTE" localSheetId="4">#REF!</definedName>
    <definedName name="ENEROAJUSTE" localSheetId="1">#REF!</definedName>
    <definedName name="ENEROAJUSTE" localSheetId="7">#REF!</definedName>
    <definedName name="ENEROAJUSTE" localSheetId="0">#REF!</definedName>
    <definedName name="ENEROAJUSTE">#REF!</definedName>
    <definedName name="Estado">'[2]Compendio de nombres'!$C$2:$C$33</definedName>
    <definedName name="Estado1" localSheetId="4">#REF!</definedName>
    <definedName name="Estado1" localSheetId="1">#REF!</definedName>
    <definedName name="Estado1" localSheetId="7">#REF!</definedName>
    <definedName name="Estado1">#REF!</definedName>
    <definedName name="ewee" hidden="1">{"'beneficiarios'!$A$1:$C$7"}</definedName>
    <definedName name="Fto_1" localSheetId="5">#REF!</definedName>
    <definedName name="Fto_1" localSheetId="4">#REF!</definedName>
    <definedName name="Fto_1" localSheetId="1">#REF!</definedName>
    <definedName name="Fto_1" localSheetId="7">#REF!</definedName>
    <definedName name="Fto_1" localSheetId="0">#REF!</definedName>
    <definedName name="Fto_1" localSheetId="3">#REF!</definedName>
    <definedName name="Fto_1">#REF!</definedName>
    <definedName name="HTML_CodePage" hidden="1">1252</definedName>
    <definedName name="HTML_Control" localSheetId="4" hidden="1">{"'beneficiarios'!$A$1:$C$7"}</definedName>
    <definedName name="HTML_Control" localSheetId="1" hidden="1">{"'beneficiarios'!$A$1:$C$7"}</definedName>
    <definedName name="HTML_Control" localSheetId="7" hidden="1">{"'beneficiarios'!$A$1:$C$7"}</definedName>
    <definedName name="HTML_Control" localSheetId="0" hidden="1">{"'beneficiarios'!$A$1:$C$7"}</definedName>
    <definedName name="HTML_Control" localSheetId="3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4" hidden="1">{"'beneficiarios'!$A$1:$C$7"}</definedName>
    <definedName name="INDICADORES" localSheetId="1" hidden="1">{"'beneficiarios'!$A$1:$C$7"}</definedName>
    <definedName name="INDICADORES" localSheetId="7" hidden="1">{"'beneficiarios'!$A$1:$C$7"}</definedName>
    <definedName name="INDICADORES" localSheetId="0" hidden="1">{"'beneficiarios'!$A$1:$C$7"}</definedName>
    <definedName name="INDICADORES" localSheetId="3" hidden="1">{"'beneficiarios'!$A$1:$C$7"}</definedName>
    <definedName name="INDICADORES" hidden="1">{"'beneficiarios'!$A$1:$C$7"}</definedName>
    <definedName name="ingresofederales" localSheetId="4" hidden="1">{"'beneficiarios'!$A$1:$C$7"}</definedName>
    <definedName name="ingresofederales" localSheetId="1" hidden="1">{"'beneficiarios'!$A$1:$C$7"}</definedName>
    <definedName name="ingresofederales" localSheetId="7" hidden="1">{"'beneficiarios'!$A$1:$C$7"}</definedName>
    <definedName name="ingresofederales" localSheetId="0" hidden="1">{"'beneficiarios'!$A$1:$C$7"}</definedName>
    <definedName name="ingresofederales" localSheetId="3" hidden="1">{"'beneficiarios'!$A$1:$C$7"}</definedName>
    <definedName name="ingresofederales" hidden="1">{"'beneficiarios'!$A$1:$C$7"}</definedName>
    <definedName name="MUNICIPIOS" localSheetId="6">[3]IMPORTE!$A$3:$A$53</definedName>
    <definedName name="MUNICIPIOS" localSheetId="7" hidden="1">{"'beneficiarios'!$A$1:$C$7"}</definedName>
    <definedName name="MUNICIPIOS" hidden="1">{"'beneficiarios'!$A$1:$C$7"}</definedName>
    <definedName name="Notas_Fto_1" localSheetId="5">#REF!</definedName>
    <definedName name="Notas_Fto_1" localSheetId="4">#REF!</definedName>
    <definedName name="Notas_Fto_1" localSheetId="1">#REF!</definedName>
    <definedName name="Notas_Fto_1" localSheetId="7">#REF!</definedName>
    <definedName name="Notas_Fto_1" localSheetId="0">#REF!</definedName>
    <definedName name="Notas_Fto_1">#REF!</definedName>
    <definedName name="nument">[4]Hoja1!$C$1</definedName>
    <definedName name="numnivel">[4]Hoja1!$G$1</definedName>
    <definedName name="Partidas">[5]TECHO!$B$1:$Q$2798</definedName>
    <definedName name="PRONGPOS">[4]GRUPOS!#REF!</definedName>
    <definedName name="Reclasificado2006" hidden="1">{"'beneficiarios'!$A$1:$C$7"}</definedName>
    <definedName name="SINAJUSTE" localSheetId="4" hidden="1">{"'beneficiarios'!$A$1:$C$7"}</definedName>
    <definedName name="SINAJUSTE" localSheetId="1" hidden="1">{"'beneficiarios'!$A$1:$C$7"}</definedName>
    <definedName name="SINAJUSTE" localSheetId="7" hidden="1">{"'beneficiarios'!$A$1:$C$7"}</definedName>
    <definedName name="SINAJUSTE" localSheetId="0" hidden="1">{"'beneficiarios'!$A$1:$C$7"}</definedName>
    <definedName name="SINAJUSTE" localSheetId="3" hidden="1">{"'beneficiarios'!$A$1:$C$7"}</definedName>
    <definedName name="SINAJUSTE" hidden="1">{"'beneficiarios'!$A$1:$C$7"}</definedName>
    <definedName name="t" localSheetId="4">#REF!</definedName>
    <definedName name="t" localSheetId="1">#REF!</definedName>
    <definedName name="t" localSheetId="7">#REF!</definedName>
    <definedName name="t" localSheetId="0">#REF!</definedName>
    <definedName name="t">#REF!</definedName>
    <definedName name="_xlnm.Print_Titles" localSheetId="6">'Art.14 Frac.III'!$B:$B</definedName>
    <definedName name="_xlnm.Print_Titles" localSheetId="2">'COEF Art 14 F I'!$B:$B,'COEF Art 14 F I'!$1:$1</definedName>
    <definedName name="_xlnm.Print_Titles" localSheetId="1">Dist!$B:$B</definedName>
    <definedName name="TOT" localSheetId="5">#REF!</definedName>
    <definedName name="TOT" localSheetId="4">#REF!</definedName>
    <definedName name="TOT" localSheetId="1">#REF!</definedName>
    <definedName name="TOT" localSheetId="7">#REF!</definedName>
    <definedName name="TOT" localSheetId="0">#REF!</definedName>
    <definedName name="TOT">#REF!</definedName>
    <definedName name="TOTAL" localSheetId="5">#REF!</definedName>
    <definedName name="TOTAL" localSheetId="4">#REF!</definedName>
    <definedName name="TOTAL" localSheetId="1">#REF!</definedName>
    <definedName name="TOTAL" localSheetId="7">#REF!</definedName>
    <definedName name="TOTAL" localSheetId="0">#REF!</definedName>
    <definedName name="TOTAL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</workbook>
</file>

<file path=xl/calcChain.xml><?xml version="1.0" encoding="utf-8"?>
<calcChain xmlns="http://schemas.openxmlformats.org/spreadsheetml/2006/main">
  <c r="L6" i="51" l="1"/>
  <c r="L7" i="51"/>
  <c r="L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34" i="51"/>
  <c r="L35" i="51"/>
  <c r="L36" i="51"/>
  <c r="L37" i="51"/>
  <c r="L38" i="51"/>
  <c r="L39" i="51"/>
  <c r="L40" i="51"/>
  <c r="L41" i="51"/>
  <c r="L42" i="51"/>
  <c r="L43" i="51"/>
  <c r="L44" i="51"/>
  <c r="L45" i="51"/>
  <c r="L46" i="51"/>
  <c r="L47" i="51"/>
  <c r="L48" i="51"/>
  <c r="L49" i="51"/>
  <c r="L50" i="51"/>
  <c r="L51" i="51"/>
  <c r="L52" i="51"/>
  <c r="L53" i="51"/>
  <c r="L54" i="51"/>
  <c r="L55" i="51"/>
  <c r="L5" i="51"/>
  <c r="AC3" i="1" l="1"/>
  <c r="B10" i="43"/>
  <c r="J6" i="28" l="1"/>
  <c r="K6" i="28"/>
  <c r="L6" i="28"/>
  <c r="M6" i="28"/>
  <c r="N6" i="28"/>
  <c r="O6" i="28"/>
  <c r="J7" i="28"/>
  <c r="K7" i="28"/>
  <c r="L7" i="28"/>
  <c r="M7" i="28"/>
  <c r="N7" i="28"/>
  <c r="O7" i="28"/>
  <c r="J8" i="28"/>
  <c r="K8" i="28"/>
  <c r="L8" i="28"/>
  <c r="M8" i="28"/>
  <c r="N8" i="28"/>
  <c r="O8" i="28"/>
  <c r="J9" i="28"/>
  <c r="K9" i="28"/>
  <c r="L9" i="28"/>
  <c r="M9" i="28"/>
  <c r="N9" i="28"/>
  <c r="O9" i="28"/>
  <c r="J10" i="28"/>
  <c r="K10" i="28"/>
  <c r="L10" i="28"/>
  <c r="M10" i="28"/>
  <c r="N10" i="28"/>
  <c r="O10" i="28"/>
  <c r="J11" i="28"/>
  <c r="K11" i="28"/>
  <c r="L11" i="28"/>
  <c r="M11" i="28"/>
  <c r="N11" i="28"/>
  <c r="O11" i="28"/>
  <c r="J12" i="28"/>
  <c r="K12" i="28"/>
  <c r="L12" i="28"/>
  <c r="M12" i="28"/>
  <c r="N12" i="28"/>
  <c r="O12" i="28"/>
  <c r="J13" i="28"/>
  <c r="K13" i="28"/>
  <c r="L13" i="28"/>
  <c r="M13" i="28"/>
  <c r="N13" i="28"/>
  <c r="O13" i="28"/>
  <c r="J14" i="28"/>
  <c r="K14" i="28"/>
  <c r="L14" i="28"/>
  <c r="M14" i="28"/>
  <c r="N14" i="28"/>
  <c r="O14" i="28"/>
  <c r="J15" i="28"/>
  <c r="K15" i="28"/>
  <c r="L15" i="28"/>
  <c r="M15" i="28"/>
  <c r="N15" i="28"/>
  <c r="O15" i="28"/>
  <c r="J16" i="28"/>
  <c r="K16" i="28"/>
  <c r="L16" i="28"/>
  <c r="M16" i="28"/>
  <c r="N16" i="28"/>
  <c r="O16" i="28"/>
  <c r="J17" i="28"/>
  <c r="K17" i="28"/>
  <c r="L17" i="28"/>
  <c r="M17" i="28"/>
  <c r="N17" i="28"/>
  <c r="O17" i="28"/>
  <c r="J18" i="28"/>
  <c r="K18" i="28"/>
  <c r="L18" i="28"/>
  <c r="M18" i="28"/>
  <c r="N18" i="28"/>
  <c r="O18" i="28"/>
  <c r="J19" i="28"/>
  <c r="K19" i="28"/>
  <c r="L19" i="28"/>
  <c r="M19" i="28"/>
  <c r="N19" i="28"/>
  <c r="O19" i="28"/>
  <c r="J20" i="28"/>
  <c r="K20" i="28"/>
  <c r="L20" i="28"/>
  <c r="M20" i="28"/>
  <c r="N20" i="28"/>
  <c r="O20" i="28"/>
  <c r="J21" i="28"/>
  <c r="K21" i="28"/>
  <c r="L21" i="28"/>
  <c r="M21" i="28"/>
  <c r="N21" i="28"/>
  <c r="O21" i="28"/>
  <c r="J22" i="28"/>
  <c r="K22" i="28"/>
  <c r="L22" i="28"/>
  <c r="M22" i="28"/>
  <c r="N22" i="28"/>
  <c r="O22" i="28"/>
  <c r="J23" i="28"/>
  <c r="K23" i="28"/>
  <c r="L23" i="28"/>
  <c r="M23" i="28"/>
  <c r="N23" i="28"/>
  <c r="O23" i="28"/>
  <c r="J24" i="28"/>
  <c r="K24" i="28"/>
  <c r="L24" i="28"/>
  <c r="M24" i="28"/>
  <c r="N24" i="28"/>
  <c r="O24" i="28"/>
  <c r="J25" i="28"/>
  <c r="K25" i="28"/>
  <c r="L25" i="28"/>
  <c r="M25" i="28"/>
  <c r="N25" i="28"/>
  <c r="O25" i="28"/>
  <c r="J26" i="28"/>
  <c r="K26" i="28"/>
  <c r="L26" i="28"/>
  <c r="M26" i="28"/>
  <c r="N26" i="28"/>
  <c r="O26" i="28"/>
  <c r="J27" i="28"/>
  <c r="K27" i="28"/>
  <c r="L27" i="28"/>
  <c r="M27" i="28"/>
  <c r="N27" i="28"/>
  <c r="O27" i="28"/>
  <c r="J28" i="28"/>
  <c r="K28" i="28"/>
  <c r="L28" i="28"/>
  <c r="M28" i="28"/>
  <c r="N28" i="28"/>
  <c r="O28" i="28"/>
  <c r="J29" i="28"/>
  <c r="K29" i="28"/>
  <c r="L29" i="28"/>
  <c r="M29" i="28"/>
  <c r="N29" i="28"/>
  <c r="O29" i="28"/>
  <c r="J30" i="28"/>
  <c r="K30" i="28"/>
  <c r="L30" i="28"/>
  <c r="M30" i="28"/>
  <c r="N30" i="28"/>
  <c r="O30" i="28"/>
  <c r="J31" i="28"/>
  <c r="K31" i="28"/>
  <c r="L31" i="28"/>
  <c r="M31" i="28"/>
  <c r="N31" i="28"/>
  <c r="O31" i="28"/>
  <c r="J32" i="28"/>
  <c r="K32" i="28"/>
  <c r="L32" i="28"/>
  <c r="M32" i="28"/>
  <c r="N32" i="28"/>
  <c r="O32" i="28"/>
  <c r="J33" i="28"/>
  <c r="K33" i="28"/>
  <c r="L33" i="28"/>
  <c r="M33" i="28"/>
  <c r="N33" i="28"/>
  <c r="O33" i="28"/>
  <c r="J34" i="28"/>
  <c r="K34" i="28"/>
  <c r="L34" i="28"/>
  <c r="M34" i="28"/>
  <c r="N34" i="28"/>
  <c r="O34" i="28"/>
  <c r="J35" i="28"/>
  <c r="K35" i="28"/>
  <c r="L35" i="28"/>
  <c r="M35" i="28"/>
  <c r="N35" i="28"/>
  <c r="O35" i="28"/>
  <c r="J36" i="28"/>
  <c r="K36" i="28"/>
  <c r="L36" i="28"/>
  <c r="M36" i="28"/>
  <c r="N36" i="28"/>
  <c r="O36" i="28"/>
  <c r="J37" i="28"/>
  <c r="K37" i="28"/>
  <c r="L37" i="28"/>
  <c r="M37" i="28"/>
  <c r="N37" i="28"/>
  <c r="O37" i="28"/>
  <c r="J38" i="28"/>
  <c r="K38" i="28"/>
  <c r="L38" i="28"/>
  <c r="M38" i="28"/>
  <c r="N38" i="28"/>
  <c r="O38" i="28"/>
  <c r="J39" i="28"/>
  <c r="K39" i="28"/>
  <c r="L39" i="28"/>
  <c r="M39" i="28"/>
  <c r="N39" i="28"/>
  <c r="O39" i="28"/>
  <c r="J40" i="28"/>
  <c r="K40" i="28"/>
  <c r="L40" i="28"/>
  <c r="M40" i="28"/>
  <c r="N40" i="28"/>
  <c r="O40" i="28"/>
  <c r="J41" i="28"/>
  <c r="K41" i="28"/>
  <c r="L41" i="28"/>
  <c r="M41" i="28"/>
  <c r="N41" i="28"/>
  <c r="O41" i="28"/>
  <c r="J42" i="28"/>
  <c r="K42" i="28"/>
  <c r="L42" i="28"/>
  <c r="M42" i="28"/>
  <c r="N42" i="28"/>
  <c r="O42" i="28"/>
  <c r="J43" i="28"/>
  <c r="K43" i="28"/>
  <c r="L43" i="28"/>
  <c r="M43" i="28"/>
  <c r="N43" i="28"/>
  <c r="O43" i="28"/>
  <c r="J44" i="28"/>
  <c r="K44" i="28"/>
  <c r="L44" i="28"/>
  <c r="M44" i="28"/>
  <c r="N44" i="28"/>
  <c r="O44" i="28"/>
  <c r="J45" i="28"/>
  <c r="K45" i="28"/>
  <c r="L45" i="28"/>
  <c r="M45" i="28"/>
  <c r="N45" i="28"/>
  <c r="O45" i="28"/>
  <c r="J46" i="28"/>
  <c r="K46" i="28"/>
  <c r="L46" i="28"/>
  <c r="M46" i="28"/>
  <c r="N46" i="28"/>
  <c r="O46" i="28"/>
  <c r="J47" i="28"/>
  <c r="K47" i="28"/>
  <c r="L47" i="28"/>
  <c r="M47" i="28"/>
  <c r="N47" i="28"/>
  <c r="O47" i="28"/>
  <c r="J48" i="28"/>
  <c r="K48" i="28"/>
  <c r="L48" i="28"/>
  <c r="M48" i="28"/>
  <c r="N48" i="28"/>
  <c r="O48" i="28"/>
  <c r="J49" i="28"/>
  <c r="K49" i="28"/>
  <c r="L49" i="28"/>
  <c r="M49" i="28"/>
  <c r="N49" i="28"/>
  <c r="O49" i="28"/>
  <c r="J50" i="28"/>
  <c r="K50" i="28"/>
  <c r="L50" i="28"/>
  <c r="M50" i="28"/>
  <c r="N50" i="28"/>
  <c r="O50" i="28"/>
  <c r="J51" i="28"/>
  <c r="K51" i="28"/>
  <c r="L51" i="28"/>
  <c r="M51" i="28"/>
  <c r="N51" i="28"/>
  <c r="O51" i="28"/>
  <c r="J52" i="28"/>
  <c r="K52" i="28"/>
  <c r="L52" i="28"/>
  <c r="M52" i="28"/>
  <c r="N52" i="28"/>
  <c r="O52" i="28"/>
  <c r="J53" i="28"/>
  <c r="K53" i="28"/>
  <c r="L53" i="28"/>
  <c r="M53" i="28"/>
  <c r="N53" i="28"/>
  <c r="O53" i="28"/>
  <c r="J54" i="28"/>
  <c r="K54" i="28"/>
  <c r="L54" i="28"/>
  <c r="M54" i="28"/>
  <c r="N54" i="28"/>
  <c r="O54" i="28"/>
  <c r="J55" i="28"/>
  <c r="K55" i="28"/>
  <c r="L55" i="28"/>
  <c r="M55" i="28"/>
  <c r="N55" i="28"/>
  <c r="O55" i="28"/>
  <c r="L5" i="28"/>
  <c r="M5" i="28"/>
  <c r="N5" i="28"/>
  <c r="O5" i="28"/>
  <c r="K5" i="28"/>
  <c r="J5" i="28"/>
  <c r="D6" i="43"/>
  <c r="F6" i="43" s="1"/>
  <c r="B14" i="43" l="1"/>
  <c r="D55" i="44" l="1"/>
  <c r="D54" i="44"/>
  <c r="D53" i="44"/>
  <c r="D52" i="44"/>
  <c r="D51" i="44"/>
  <c r="D50" i="44"/>
  <c r="D49" i="44"/>
  <c r="D48" i="44"/>
  <c r="D47" i="44"/>
  <c r="D46" i="44"/>
  <c r="D45" i="44"/>
  <c r="D44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5" i="44"/>
  <c r="I6" i="28" l="1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" i="28"/>
  <c r="B15" i="43" l="1"/>
  <c r="J56" i="28" l="1"/>
  <c r="K56" i="28"/>
  <c r="L56" i="28"/>
  <c r="M56" i="28"/>
  <c r="N56" i="28"/>
  <c r="O56" i="28"/>
  <c r="P53" i="28" l="1"/>
  <c r="P37" i="28" l="1"/>
  <c r="P30" i="28"/>
  <c r="P36" i="28"/>
  <c r="P45" i="28"/>
  <c r="P23" i="28"/>
  <c r="P38" i="28"/>
  <c r="P7" i="28"/>
  <c r="P33" i="28"/>
  <c r="P8" i="28"/>
  <c r="P22" i="28"/>
  <c r="P50" i="28"/>
  <c r="P12" i="28"/>
  <c r="P40" i="28"/>
  <c r="P27" i="28"/>
  <c r="P32" i="28"/>
  <c r="P20" i="28"/>
  <c r="P17" i="28"/>
  <c r="P15" i="28"/>
  <c r="P41" i="28"/>
  <c r="P51" i="28"/>
  <c r="P26" i="28"/>
  <c r="P18" i="28"/>
  <c r="P29" i="28"/>
  <c r="P54" i="28"/>
  <c r="P52" i="28"/>
  <c r="P14" i="28"/>
  <c r="P6" i="28"/>
  <c r="P9" i="28"/>
  <c r="P34" i="28"/>
  <c r="P35" i="28"/>
  <c r="P13" i="28"/>
  <c r="P21" i="28"/>
  <c r="P11" i="28"/>
  <c r="P44" i="28"/>
  <c r="P47" i="28"/>
  <c r="P24" i="28"/>
  <c r="P49" i="28"/>
  <c r="P43" i="28"/>
  <c r="P39" i="28"/>
  <c r="P46" i="28"/>
  <c r="P16" i="28"/>
  <c r="P31" i="28"/>
  <c r="P42" i="28"/>
  <c r="P10" i="28"/>
  <c r="P48" i="28"/>
  <c r="P28" i="28"/>
  <c r="P25" i="28"/>
  <c r="P19" i="28"/>
  <c r="P55" i="28"/>
  <c r="I56" i="28"/>
  <c r="P5" i="28"/>
  <c r="E10" i="43" l="1"/>
  <c r="E15" i="43" s="1"/>
  <c r="D13" i="43" l="1"/>
  <c r="C55" i="49"/>
  <c r="D54" i="49" l="1"/>
  <c r="E54" i="49" s="1"/>
  <c r="K55" i="51" s="1"/>
  <c r="D19" i="49"/>
  <c r="E19" i="49" s="1"/>
  <c r="K20" i="51" s="1"/>
  <c r="D31" i="49"/>
  <c r="E31" i="49" s="1"/>
  <c r="K32" i="51" s="1"/>
  <c r="D9" i="49"/>
  <c r="E9" i="49" s="1"/>
  <c r="K10" i="51" s="1"/>
  <c r="D21" i="49"/>
  <c r="E21" i="49" s="1"/>
  <c r="K22" i="51" s="1"/>
  <c r="D33" i="49"/>
  <c r="E33" i="49" s="1"/>
  <c r="K34" i="51" s="1"/>
  <c r="D39" i="49"/>
  <c r="E39" i="49" s="1"/>
  <c r="K40" i="51" s="1"/>
  <c r="D45" i="49"/>
  <c r="E45" i="49" s="1"/>
  <c r="K46" i="51" s="1"/>
  <c r="D51" i="49"/>
  <c r="E51" i="49" s="1"/>
  <c r="K52" i="51" s="1"/>
  <c r="D13" i="49"/>
  <c r="E13" i="49" s="1"/>
  <c r="K14" i="51" s="1"/>
  <c r="D25" i="49"/>
  <c r="E25" i="49" s="1"/>
  <c r="K26" i="51" s="1"/>
  <c r="D37" i="49"/>
  <c r="E37" i="49" s="1"/>
  <c r="K38" i="51" s="1"/>
  <c r="D43" i="49"/>
  <c r="E43" i="49" s="1"/>
  <c r="K44" i="51" s="1"/>
  <c r="D49" i="49"/>
  <c r="E49" i="49" s="1"/>
  <c r="K50" i="51" s="1"/>
  <c r="D8" i="49"/>
  <c r="E8" i="49" s="1"/>
  <c r="K9" i="51" s="1"/>
  <c r="D20" i="49"/>
  <c r="E20" i="49" s="1"/>
  <c r="K21" i="51" s="1"/>
  <c r="D32" i="49"/>
  <c r="E32" i="49" s="1"/>
  <c r="K33" i="51" s="1"/>
  <c r="D38" i="49"/>
  <c r="E38" i="49" s="1"/>
  <c r="K39" i="51" s="1"/>
  <c r="D44" i="49"/>
  <c r="E44" i="49" s="1"/>
  <c r="K45" i="51" s="1"/>
  <c r="D50" i="49"/>
  <c r="E50" i="49" s="1"/>
  <c r="K51" i="51" s="1"/>
  <c r="D15" i="49"/>
  <c r="E15" i="49" s="1"/>
  <c r="K16" i="51" s="1"/>
  <c r="D27" i="49"/>
  <c r="E27" i="49" s="1"/>
  <c r="K28" i="51" s="1"/>
  <c r="D26" i="49"/>
  <c r="E26" i="49" s="1"/>
  <c r="K27" i="51" s="1"/>
  <c r="D10" i="49"/>
  <c r="E10" i="49" s="1"/>
  <c r="K11" i="51" s="1"/>
  <c r="D22" i="49"/>
  <c r="E22" i="49" s="1"/>
  <c r="K23" i="51" s="1"/>
  <c r="D34" i="49"/>
  <c r="E34" i="49" s="1"/>
  <c r="K35" i="51" s="1"/>
  <c r="D46" i="49"/>
  <c r="E46" i="49" s="1"/>
  <c r="K47" i="51" s="1"/>
  <c r="D11" i="49"/>
  <c r="E11" i="49" s="1"/>
  <c r="K12" i="51" s="1"/>
  <c r="D35" i="49"/>
  <c r="E35" i="49" s="1"/>
  <c r="K36" i="51" s="1"/>
  <c r="D7" i="49"/>
  <c r="E7" i="49" s="1"/>
  <c r="K8" i="51" s="1"/>
  <c r="D14" i="49"/>
  <c r="E14" i="49" s="1"/>
  <c r="K15" i="51" s="1"/>
  <c r="D4" i="49"/>
  <c r="E4" i="49" s="1"/>
  <c r="K5" i="51" s="1"/>
  <c r="D16" i="49"/>
  <c r="E16" i="49" s="1"/>
  <c r="K17" i="51" s="1"/>
  <c r="D28" i="49"/>
  <c r="E28" i="49" s="1"/>
  <c r="K29" i="51" s="1"/>
  <c r="D40" i="49"/>
  <c r="E40" i="49" s="1"/>
  <c r="K41" i="51" s="1"/>
  <c r="D52" i="49"/>
  <c r="E52" i="49" s="1"/>
  <c r="K53" i="51" s="1"/>
  <c r="D5" i="49"/>
  <c r="E5" i="49" s="1"/>
  <c r="K6" i="51" s="1"/>
  <c r="D17" i="49"/>
  <c r="E17" i="49" s="1"/>
  <c r="K18" i="51" s="1"/>
  <c r="D23" i="49"/>
  <c r="E23" i="49" s="1"/>
  <c r="K24" i="51" s="1"/>
  <c r="D29" i="49"/>
  <c r="E29" i="49" s="1"/>
  <c r="K30" i="51" s="1"/>
  <c r="D41" i="49"/>
  <c r="E41" i="49" s="1"/>
  <c r="K42" i="51" s="1"/>
  <c r="D47" i="49"/>
  <c r="E47" i="49" s="1"/>
  <c r="K48" i="51" s="1"/>
  <c r="D53" i="49"/>
  <c r="E53" i="49" s="1"/>
  <c r="K54" i="51" s="1"/>
  <c r="D6" i="49"/>
  <c r="E6" i="49" s="1"/>
  <c r="K7" i="51" s="1"/>
  <c r="D12" i="49"/>
  <c r="E12" i="49" s="1"/>
  <c r="K13" i="51" s="1"/>
  <c r="D18" i="49"/>
  <c r="E18" i="49" s="1"/>
  <c r="K19" i="51" s="1"/>
  <c r="D24" i="49"/>
  <c r="E24" i="49" s="1"/>
  <c r="K25" i="51" s="1"/>
  <c r="D30" i="49"/>
  <c r="E30" i="49" s="1"/>
  <c r="K31" i="51" s="1"/>
  <c r="D36" i="49"/>
  <c r="E36" i="49" s="1"/>
  <c r="K37" i="51" s="1"/>
  <c r="D42" i="49"/>
  <c r="E42" i="49" s="1"/>
  <c r="K43" i="51" s="1"/>
  <c r="D48" i="49"/>
  <c r="E48" i="49" s="1"/>
  <c r="K49" i="51" s="1"/>
  <c r="K56" i="51" l="1"/>
  <c r="D55" i="49"/>
  <c r="E55" i="49" l="1"/>
  <c r="Q56" i="1"/>
  <c r="P56" i="1"/>
  <c r="R37" i="1" s="1"/>
  <c r="S37" i="1" s="1"/>
  <c r="O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P56" i="28" l="1"/>
  <c r="R7" i="1"/>
  <c r="S7" i="1" s="1"/>
  <c r="R19" i="1"/>
  <c r="S19" i="1" s="1"/>
  <c r="R53" i="1"/>
  <c r="S53" i="1" s="1"/>
  <c r="R54" i="1"/>
  <c r="S54" i="1" s="1"/>
  <c r="R50" i="1"/>
  <c r="S50" i="1" s="1"/>
  <c r="R46" i="1"/>
  <c r="S46" i="1" s="1"/>
  <c r="R42" i="1"/>
  <c r="S42" i="1" s="1"/>
  <c r="R38" i="1"/>
  <c r="S38" i="1" s="1"/>
  <c r="R34" i="1"/>
  <c r="S34" i="1" s="1"/>
  <c r="R30" i="1"/>
  <c r="S30" i="1" s="1"/>
  <c r="R26" i="1"/>
  <c r="S26" i="1" s="1"/>
  <c r="R22" i="1"/>
  <c r="S22" i="1" s="1"/>
  <c r="R18" i="1"/>
  <c r="S18" i="1" s="1"/>
  <c r="R14" i="1"/>
  <c r="S14" i="1" s="1"/>
  <c r="R10" i="1"/>
  <c r="S10" i="1" s="1"/>
  <c r="R6" i="1"/>
  <c r="S6" i="1" s="1"/>
  <c r="R55" i="1"/>
  <c r="S55" i="1" s="1"/>
  <c r="R39" i="1"/>
  <c r="S39" i="1" s="1"/>
  <c r="R51" i="1"/>
  <c r="S51" i="1" s="1"/>
  <c r="R47" i="1"/>
  <c r="S47" i="1" s="1"/>
  <c r="R43" i="1"/>
  <c r="S43" i="1" s="1"/>
  <c r="R35" i="1"/>
  <c r="S35" i="1" s="1"/>
  <c r="R31" i="1"/>
  <c r="S31" i="1" s="1"/>
  <c r="R52" i="1"/>
  <c r="S52" i="1" s="1"/>
  <c r="R48" i="1"/>
  <c r="S48" i="1" s="1"/>
  <c r="R44" i="1"/>
  <c r="S44" i="1" s="1"/>
  <c r="R40" i="1"/>
  <c r="S40" i="1" s="1"/>
  <c r="R36" i="1"/>
  <c r="S36" i="1" s="1"/>
  <c r="R32" i="1"/>
  <c r="S32" i="1" s="1"/>
  <c r="R28" i="1"/>
  <c r="S28" i="1" s="1"/>
  <c r="R24" i="1"/>
  <c r="S24" i="1" s="1"/>
  <c r="R20" i="1"/>
  <c r="S20" i="1" s="1"/>
  <c r="R16" i="1"/>
  <c r="S16" i="1" s="1"/>
  <c r="R12" i="1"/>
  <c r="S12" i="1" s="1"/>
  <c r="R8" i="1"/>
  <c r="S8" i="1" s="1"/>
  <c r="R5" i="1"/>
  <c r="R17" i="1"/>
  <c r="S17" i="1" s="1"/>
  <c r="R29" i="1"/>
  <c r="S29" i="1" s="1"/>
  <c r="R41" i="1"/>
  <c r="S41" i="1" s="1"/>
  <c r="V56" i="1"/>
  <c r="W37" i="1" s="1"/>
  <c r="X37" i="1" s="1"/>
  <c r="R15" i="1"/>
  <c r="S15" i="1" s="1"/>
  <c r="R27" i="1"/>
  <c r="S27" i="1" s="1"/>
  <c r="R13" i="1"/>
  <c r="S13" i="1" s="1"/>
  <c r="R45" i="1"/>
  <c r="S45" i="1" s="1"/>
  <c r="W48" i="1"/>
  <c r="X48" i="1" s="1"/>
  <c r="R11" i="1"/>
  <c r="S11" i="1" s="1"/>
  <c r="R23" i="1"/>
  <c r="S23" i="1" s="1"/>
  <c r="R49" i="1"/>
  <c r="S49" i="1" s="1"/>
  <c r="R25" i="1"/>
  <c r="S25" i="1" s="1"/>
  <c r="R33" i="1"/>
  <c r="S33" i="1" s="1"/>
  <c r="R9" i="1"/>
  <c r="S9" i="1" s="1"/>
  <c r="R21" i="1"/>
  <c r="S21" i="1" s="1"/>
  <c r="Q53" i="28" l="1"/>
  <c r="Q39" i="28"/>
  <c r="Q23" i="28"/>
  <c r="Q49" i="28"/>
  <c r="Q34" i="28"/>
  <c r="Q48" i="28"/>
  <c r="Q13" i="28"/>
  <c r="Q20" i="28"/>
  <c r="Q40" i="28"/>
  <c r="Q33" i="28"/>
  <c r="Q28" i="28"/>
  <c r="Q10" i="28"/>
  <c r="Q42" i="28"/>
  <c r="Q5" i="28"/>
  <c r="Q26" i="28"/>
  <c r="Q11" i="28"/>
  <c r="Q52" i="28"/>
  <c r="Q12" i="28"/>
  <c r="Q15" i="28"/>
  <c r="Q22" i="28"/>
  <c r="Q32" i="28"/>
  <c r="Q43" i="28"/>
  <c r="Q24" i="28"/>
  <c r="Q6" i="28"/>
  <c r="Q31" i="28"/>
  <c r="Q47" i="28"/>
  <c r="Q55" i="28"/>
  <c r="Q44" i="28"/>
  <c r="Q19" i="28"/>
  <c r="Q36" i="28"/>
  <c r="Q45" i="28"/>
  <c r="Q30" i="28"/>
  <c r="Q35" i="28"/>
  <c r="Q9" i="28"/>
  <c r="Q41" i="28"/>
  <c r="Q16" i="28"/>
  <c r="Q17" i="28"/>
  <c r="Q21" i="28"/>
  <c r="Q29" i="28"/>
  <c r="Q18" i="28"/>
  <c r="Q51" i="28"/>
  <c r="Q50" i="28"/>
  <c r="Q14" i="28"/>
  <c r="Q27" i="28"/>
  <c r="Q46" i="28"/>
  <c r="Q8" i="28"/>
  <c r="Q7" i="28"/>
  <c r="Q54" i="28"/>
  <c r="Q38" i="28"/>
  <c r="Q25" i="28"/>
  <c r="Q37" i="28"/>
  <c r="W46" i="1"/>
  <c r="X46" i="1" s="1"/>
  <c r="W36" i="1"/>
  <c r="X36" i="1" s="1"/>
  <c r="W34" i="1"/>
  <c r="X34" i="1" s="1"/>
  <c r="W22" i="1"/>
  <c r="X22" i="1" s="1"/>
  <c r="W32" i="1"/>
  <c r="X32" i="1" s="1"/>
  <c r="W10" i="1"/>
  <c r="X10" i="1" s="1"/>
  <c r="W28" i="1"/>
  <c r="X28" i="1" s="1"/>
  <c r="W52" i="1"/>
  <c r="X52" i="1" s="1"/>
  <c r="W40" i="1"/>
  <c r="X40" i="1" s="1"/>
  <c r="W54" i="1"/>
  <c r="X54" i="1" s="1"/>
  <c r="W50" i="1"/>
  <c r="X50" i="1" s="1"/>
  <c r="W14" i="1"/>
  <c r="X14" i="1" s="1"/>
  <c r="W16" i="1"/>
  <c r="X16" i="1" s="1"/>
  <c r="W18" i="1"/>
  <c r="X18" i="1" s="1"/>
  <c r="R56" i="1"/>
  <c r="S5" i="1"/>
  <c r="W30" i="1"/>
  <c r="X30" i="1" s="1"/>
  <c r="W6" i="1"/>
  <c r="X6" i="1" s="1"/>
  <c r="W26" i="1"/>
  <c r="X26" i="1" s="1"/>
  <c r="W9" i="1"/>
  <c r="X9" i="1" s="1"/>
  <c r="W20" i="1"/>
  <c r="X20" i="1" s="1"/>
  <c r="W42" i="1"/>
  <c r="X42" i="1" s="1"/>
  <c r="W44" i="1"/>
  <c r="X44" i="1" s="1"/>
  <c r="W53" i="1"/>
  <c r="X53" i="1" s="1"/>
  <c r="W25" i="1"/>
  <c r="X25" i="1" s="1"/>
  <c r="W24" i="1"/>
  <c r="X24" i="1" s="1"/>
  <c r="W21" i="1"/>
  <c r="X21" i="1" s="1"/>
  <c r="W38" i="1"/>
  <c r="X38" i="1" s="1"/>
  <c r="W8" i="1"/>
  <c r="X8" i="1" s="1"/>
  <c r="W49" i="1"/>
  <c r="X49" i="1" s="1"/>
  <c r="W12" i="1"/>
  <c r="X12" i="1" s="1"/>
  <c r="W33" i="1"/>
  <c r="X33" i="1" s="1"/>
  <c r="W23" i="1"/>
  <c r="X23" i="1" s="1"/>
  <c r="W11" i="1"/>
  <c r="X11" i="1" s="1"/>
  <c r="W51" i="1"/>
  <c r="X51" i="1" s="1"/>
  <c r="W15" i="1"/>
  <c r="X15" i="1" s="1"/>
  <c r="W55" i="1"/>
  <c r="X55" i="1" s="1"/>
  <c r="W39" i="1"/>
  <c r="X39" i="1" s="1"/>
  <c r="W27" i="1"/>
  <c r="X27" i="1" s="1"/>
  <c r="W41" i="1"/>
  <c r="X41" i="1" s="1"/>
  <c r="W35" i="1"/>
  <c r="X35" i="1" s="1"/>
  <c r="W29" i="1"/>
  <c r="X29" i="1" s="1"/>
  <c r="W17" i="1"/>
  <c r="X17" i="1" s="1"/>
  <c r="W5" i="1"/>
  <c r="X5" i="1" s="1"/>
  <c r="W43" i="1"/>
  <c r="X43" i="1" s="1"/>
  <c r="W47" i="1"/>
  <c r="X47" i="1" s="1"/>
  <c r="W19" i="1"/>
  <c r="X19" i="1" s="1"/>
  <c r="W7" i="1"/>
  <c r="X7" i="1" s="1"/>
  <c r="W31" i="1"/>
  <c r="X31" i="1" s="1"/>
  <c r="W13" i="1"/>
  <c r="X13" i="1" s="1"/>
  <c r="W45" i="1"/>
  <c r="X45" i="1" s="1"/>
  <c r="Y5" i="1" l="1"/>
  <c r="Q56" i="28"/>
  <c r="W56" i="1"/>
  <c r="S56" i="1"/>
  <c r="T5" i="1" s="1"/>
  <c r="U5" i="1" s="1"/>
  <c r="T19" i="1" l="1"/>
  <c r="U19" i="1" s="1"/>
  <c r="Y19" i="1" s="1"/>
  <c r="T7" i="1"/>
  <c r="U7" i="1" s="1"/>
  <c r="Y7" i="1" s="1"/>
  <c r="T37" i="1"/>
  <c r="U37" i="1" s="1"/>
  <c r="Y37" i="1" s="1"/>
  <c r="T53" i="1"/>
  <c r="U53" i="1" s="1"/>
  <c r="Y53" i="1" s="1"/>
  <c r="T26" i="1"/>
  <c r="U26" i="1" s="1"/>
  <c r="Y26" i="1" s="1"/>
  <c r="T11" i="1"/>
  <c r="U11" i="1" s="1"/>
  <c r="Y11" i="1" s="1"/>
  <c r="T47" i="1"/>
  <c r="U47" i="1" s="1"/>
  <c r="Y47" i="1" s="1"/>
  <c r="T55" i="1"/>
  <c r="U55" i="1" s="1"/>
  <c r="Y55" i="1" s="1"/>
  <c r="T17" i="1"/>
  <c r="U17" i="1" s="1"/>
  <c r="Y17" i="1" s="1"/>
  <c r="T38" i="1"/>
  <c r="U38" i="1" s="1"/>
  <c r="Y38" i="1" s="1"/>
  <c r="T50" i="1"/>
  <c r="U50" i="1" s="1"/>
  <c r="Y50" i="1" s="1"/>
  <c r="T16" i="1"/>
  <c r="U16" i="1" s="1"/>
  <c r="Y16" i="1" s="1"/>
  <c r="T44" i="1"/>
  <c r="U44" i="1" s="1"/>
  <c r="Y44" i="1" s="1"/>
  <c r="T14" i="1"/>
  <c r="U14" i="1" s="1"/>
  <c r="Y14" i="1" s="1"/>
  <c r="T52" i="1"/>
  <c r="U52" i="1" s="1"/>
  <c r="Y52" i="1" s="1"/>
  <c r="T33" i="1"/>
  <c r="U33" i="1" s="1"/>
  <c r="Y33" i="1" s="1"/>
  <c r="T43" i="1"/>
  <c r="U43" i="1" s="1"/>
  <c r="Y43" i="1" s="1"/>
  <c r="T22" i="1"/>
  <c r="U22" i="1" s="1"/>
  <c r="Y22" i="1" s="1"/>
  <c r="T23" i="1"/>
  <c r="U23" i="1" s="1"/>
  <c r="Y23" i="1" s="1"/>
  <c r="T34" i="1"/>
  <c r="U34" i="1" s="1"/>
  <c r="Y34" i="1" s="1"/>
  <c r="T28" i="1"/>
  <c r="U28" i="1" s="1"/>
  <c r="Y28" i="1" s="1"/>
  <c r="T24" i="1"/>
  <c r="U24" i="1" s="1"/>
  <c r="Y24" i="1" s="1"/>
  <c r="T9" i="1"/>
  <c r="U9" i="1" s="1"/>
  <c r="Y9" i="1" s="1"/>
  <c r="T27" i="1"/>
  <c r="U27" i="1" s="1"/>
  <c r="Y27" i="1" s="1"/>
  <c r="T36" i="1"/>
  <c r="U36" i="1" s="1"/>
  <c r="Y36" i="1" s="1"/>
  <c r="T29" i="1"/>
  <c r="U29" i="1" s="1"/>
  <c r="Y29" i="1" s="1"/>
  <c r="T12" i="1"/>
  <c r="U12" i="1" s="1"/>
  <c r="Y12" i="1" s="1"/>
  <c r="T51" i="1"/>
  <c r="U51" i="1" s="1"/>
  <c r="Y51" i="1" s="1"/>
  <c r="T46" i="1"/>
  <c r="U46" i="1" s="1"/>
  <c r="Y46" i="1" s="1"/>
  <c r="T39" i="1"/>
  <c r="U39" i="1" s="1"/>
  <c r="Y39" i="1" s="1"/>
  <c r="T6" i="1"/>
  <c r="U6" i="1" s="1"/>
  <c r="Y6" i="1" s="1"/>
  <c r="T35" i="1"/>
  <c r="U35" i="1" s="1"/>
  <c r="Y35" i="1" s="1"/>
  <c r="T40" i="1"/>
  <c r="U40" i="1" s="1"/>
  <c r="Y40" i="1" s="1"/>
  <c r="T42" i="1"/>
  <c r="U42" i="1" s="1"/>
  <c r="Y42" i="1" s="1"/>
  <c r="T54" i="1"/>
  <c r="U54" i="1" s="1"/>
  <c r="Y54" i="1" s="1"/>
  <c r="T13" i="1"/>
  <c r="U13" i="1" s="1"/>
  <c r="Y13" i="1" s="1"/>
  <c r="T10" i="1"/>
  <c r="U10" i="1" s="1"/>
  <c r="Y10" i="1" s="1"/>
  <c r="T30" i="1"/>
  <c r="U30" i="1" s="1"/>
  <c r="Y30" i="1" s="1"/>
  <c r="T48" i="1"/>
  <c r="U48" i="1" s="1"/>
  <c r="Y48" i="1" s="1"/>
  <c r="T45" i="1"/>
  <c r="U45" i="1" s="1"/>
  <c r="Y45" i="1" s="1"/>
  <c r="T21" i="1"/>
  <c r="U21" i="1" s="1"/>
  <c r="Y21" i="1" s="1"/>
  <c r="T18" i="1"/>
  <c r="U18" i="1" s="1"/>
  <c r="Y18" i="1" s="1"/>
  <c r="T8" i="1"/>
  <c r="U8" i="1" s="1"/>
  <c r="Y8" i="1" s="1"/>
  <c r="T15" i="1"/>
  <c r="U15" i="1" s="1"/>
  <c r="Y15" i="1" s="1"/>
  <c r="T41" i="1"/>
  <c r="U41" i="1" s="1"/>
  <c r="Y41" i="1" s="1"/>
  <c r="T49" i="1"/>
  <c r="U49" i="1" s="1"/>
  <c r="Y49" i="1" s="1"/>
  <c r="T31" i="1"/>
  <c r="U31" i="1" s="1"/>
  <c r="Y31" i="1" s="1"/>
  <c r="T25" i="1"/>
  <c r="U25" i="1" s="1"/>
  <c r="Y25" i="1" s="1"/>
  <c r="T20" i="1"/>
  <c r="U20" i="1" s="1"/>
  <c r="Y20" i="1" s="1"/>
  <c r="T32" i="1"/>
  <c r="U32" i="1" s="1"/>
  <c r="Y32" i="1" s="1"/>
  <c r="T56" i="1" l="1"/>
  <c r="D12" i="43" l="1"/>
  <c r="D9" i="43"/>
  <c r="F9" i="43" s="1"/>
  <c r="D8" i="43"/>
  <c r="F8" i="43" s="1"/>
  <c r="D7" i="43"/>
  <c r="F7" i="43" s="1"/>
  <c r="D11" i="43"/>
  <c r="D5" i="43"/>
  <c r="F5" i="43" s="1"/>
  <c r="H56" i="28"/>
  <c r="G56" i="28"/>
  <c r="F56" i="28"/>
  <c r="E56" i="28"/>
  <c r="D56" i="28"/>
  <c r="C56" i="28"/>
  <c r="K5" i="36" l="1"/>
  <c r="O3" i="44"/>
  <c r="D14" i="43"/>
  <c r="D4" i="43"/>
  <c r="D10" i="43" l="1"/>
  <c r="D15" i="43" s="1"/>
  <c r="F4" i="43"/>
  <c r="F10" i="43" l="1"/>
  <c r="E5" i="44"/>
  <c r="H5" i="44"/>
  <c r="I5" i="44" s="1"/>
  <c r="E6" i="44"/>
  <c r="H6" i="44"/>
  <c r="I6" i="44" s="1"/>
  <c r="E7" i="44"/>
  <c r="H7" i="44"/>
  <c r="I7" i="44" s="1"/>
  <c r="E8" i="44"/>
  <c r="H8" i="44"/>
  <c r="I8" i="44" s="1"/>
  <c r="E9" i="44"/>
  <c r="H9" i="44"/>
  <c r="I9" i="44" s="1"/>
  <c r="E10" i="44"/>
  <c r="H10" i="44"/>
  <c r="I10" i="44" s="1"/>
  <c r="E11" i="44"/>
  <c r="H11" i="44"/>
  <c r="I11" i="44" s="1"/>
  <c r="E12" i="44"/>
  <c r="H12" i="44"/>
  <c r="I12" i="44" s="1"/>
  <c r="E13" i="44"/>
  <c r="H13" i="44"/>
  <c r="I13" i="44" s="1"/>
  <c r="E14" i="44"/>
  <c r="H14" i="44"/>
  <c r="I14" i="44" s="1"/>
  <c r="E15" i="44"/>
  <c r="H15" i="44"/>
  <c r="I15" i="44" s="1"/>
  <c r="E16" i="44"/>
  <c r="H16" i="44"/>
  <c r="I16" i="44" s="1"/>
  <c r="E17" i="44"/>
  <c r="H17" i="44"/>
  <c r="I17" i="44" s="1"/>
  <c r="E18" i="44"/>
  <c r="H18" i="44"/>
  <c r="I18" i="44" s="1"/>
  <c r="E19" i="44"/>
  <c r="H19" i="44"/>
  <c r="I19" i="44" s="1"/>
  <c r="E20" i="44"/>
  <c r="H20" i="44"/>
  <c r="I20" i="44" s="1"/>
  <c r="E21" i="44"/>
  <c r="H21" i="44"/>
  <c r="I21" i="44" s="1"/>
  <c r="E22" i="44"/>
  <c r="H22" i="44"/>
  <c r="I22" i="44" s="1"/>
  <c r="E23" i="44"/>
  <c r="H23" i="44"/>
  <c r="I23" i="44" s="1"/>
  <c r="E24" i="44"/>
  <c r="H24" i="44"/>
  <c r="I24" i="44" s="1"/>
  <c r="E25" i="44"/>
  <c r="H25" i="44"/>
  <c r="I25" i="44" s="1"/>
  <c r="E26" i="44"/>
  <c r="H26" i="44"/>
  <c r="I26" i="44" s="1"/>
  <c r="E27" i="44"/>
  <c r="H27" i="44"/>
  <c r="I27" i="44" s="1"/>
  <c r="E28" i="44"/>
  <c r="H28" i="44"/>
  <c r="I28" i="44" s="1"/>
  <c r="E29" i="44"/>
  <c r="H29" i="44"/>
  <c r="I29" i="44" s="1"/>
  <c r="E30" i="44"/>
  <c r="H30" i="44"/>
  <c r="I30" i="44" s="1"/>
  <c r="E31" i="44"/>
  <c r="H31" i="44"/>
  <c r="I31" i="44" s="1"/>
  <c r="E32" i="44"/>
  <c r="H32" i="44"/>
  <c r="I32" i="44" s="1"/>
  <c r="E33" i="44"/>
  <c r="H33" i="44"/>
  <c r="I33" i="44" s="1"/>
  <c r="E34" i="44"/>
  <c r="H34" i="44"/>
  <c r="I34" i="44" s="1"/>
  <c r="E35" i="44"/>
  <c r="H35" i="44"/>
  <c r="I35" i="44" s="1"/>
  <c r="E36" i="44"/>
  <c r="H36" i="44"/>
  <c r="I36" i="44" s="1"/>
  <c r="E37" i="44"/>
  <c r="H37" i="44"/>
  <c r="I37" i="44" s="1"/>
  <c r="E38" i="44"/>
  <c r="H38" i="44"/>
  <c r="I38" i="44" s="1"/>
  <c r="E39" i="44"/>
  <c r="H39" i="44"/>
  <c r="I39" i="44" s="1"/>
  <c r="E40" i="44"/>
  <c r="H40" i="44"/>
  <c r="I40" i="44" s="1"/>
  <c r="E41" i="44"/>
  <c r="H41" i="44"/>
  <c r="I41" i="44" s="1"/>
  <c r="E42" i="44"/>
  <c r="H42" i="44"/>
  <c r="I42" i="44" s="1"/>
  <c r="E43" i="44"/>
  <c r="H43" i="44"/>
  <c r="I43" i="44" s="1"/>
  <c r="E44" i="44"/>
  <c r="H44" i="44"/>
  <c r="I44" i="44" s="1"/>
  <c r="E45" i="44"/>
  <c r="H45" i="44"/>
  <c r="I45" i="44" s="1"/>
  <c r="E46" i="44"/>
  <c r="H46" i="44"/>
  <c r="I46" i="44" s="1"/>
  <c r="E47" i="44"/>
  <c r="H47" i="44"/>
  <c r="I47" i="44" s="1"/>
  <c r="E48" i="44"/>
  <c r="H48" i="44"/>
  <c r="I48" i="44" s="1"/>
  <c r="E49" i="44"/>
  <c r="H49" i="44"/>
  <c r="I49" i="44" s="1"/>
  <c r="E50" i="44"/>
  <c r="H50" i="44"/>
  <c r="I50" i="44" s="1"/>
  <c r="E51" i="44"/>
  <c r="H51" i="44"/>
  <c r="I51" i="44" s="1"/>
  <c r="E52" i="44"/>
  <c r="H52" i="44"/>
  <c r="I52" i="44" s="1"/>
  <c r="E53" i="44"/>
  <c r="H53" i="44"/>
  <c r="I53" i="44" s="1"/>
  <c r="E54" i="44"/>
  <c r="H54" i="44"/>
  <c r="I54" i="44" s="1"/>
  <c r="E55" i="44"/>
  <c r="H55" i="44"/>
  <c r="I55" i="44" s="1"/>
  <c r="C56" i="44"/>
  <c r="D56" i="44"/>
  <c r="K55" i="44" s="1"/>
  <c r="G56" i="44"/>
  <c r="F15" i="43" l="1"/>
  <c r="E56" i="44"/>
  <c r="F54" i="44" s="1"/>
  <c r="I56" i="44"/>
  <c r="J54" i="44" s="1"/>
  <c r="K54" i="44"/>
  <c r="K5" i="44"/>
  <c r="K6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J14" i="44" l="1"/>
  <c r="J9" i="44"/>
  <c r="J16" i="44"/>
  <c r="J20" i="44"/>
  <c r="J26" i="44"/>
  <c r="J28" i="44"/>
  <c r="J30" i="44"/>
  <c r="J32" i="44"/>
  <c r="J34" i="44"/>
  <c r="J5" i="44"/>
  <c r="J36" i="44"/>
  <c r="J7" i="44"/>
  <c r="J38" i="44"/>
  <c r="J18" i="44"/>
  <c r="F8" i="44"/>
  <c r="F10" i="44"/>
  <c r="F18" i="44"/>
  <c r="F32" i="44"/>
  <c r="F52" i="44"/>
  <c r="F36" i="44"/>
  <c r="F14" i="44"/>
  <c r="F50" i="44"/>
  <c r="F6" i="44"/>
  <c r="F23" i="44"/>
  <c r="F25" i="44"/>
  <c r="F34" i="44"/>
  <c r="F27" i="44"/>
  <c r="F12" i="44"/>
  <c r="F38" i="44"/>
  <c r="F40" i="44"/>
  <c r="F16" i="44"/>
  <c r="F42" i="44"/>
  <c r="F44" i="44"/>
  <c r="F46" i="44"/>
  <c r="F48" i="44"/>
  <c r="F21" i="44"/>
  <c r="F30" i="44"/>
  <c r="J11" i="44"/>
  <c r="J22" i="44"/>
  <c r="J40" i="44"/>
  <c r="J24" i="44"/>
  <c r="J6" i="44"/>
  <c r="J8" i="44"/>
  <c r="J10" i="44"/>
  <c r="J12" i="44"/>
  <c r="J13" i="44"/>
  <c r="J15" i="44"/>
  <c r="J17" i="44"/>
  <c r="J19" i="44"/>
  <c r="J21" i="44"/>
  <c r="J23" i="44"/>
  <c r="J25" i="44"/>
  <c r="J27" i="44"/>
  <c r="J29" i="44"/>
  <c r="J31" i="44"/>
  <c r="J33" i="44"/>
  <c r="J35" i="44"/>
  <c r="J37" i="44"/>
  <c r="J39" i="44"/>
  <c r="J41" i="44"/>
  <c r="F5" i="44"/>
  <c r="F7" i="44"/>
  <c r="F9" i="44"/>
  <c r="F11" i="44"/>
  <c r="F13" i="44"/>
  <c r="F15" i="44"/>
  <c r="F17" i="44"/>
  <c r="F19" i="44"/>
  <c r="F20" i="44"/>
  <c r="F22" i="44"/>
  <c r="F24" i="44"/>
  <c r="F26" i="44"/>
  <c r="F28" i="44"/>
  <c r="F29" i="44"/>
  <c r="F31" i="44"/>
  <c r="F33" i="44"/>
  <c r="F35" i="44"/>
  <c r="F37" i="44"/>
  <c r="F39" i="44"/>
  <c r="F41" i="44"/>
  <c r="F43" i="44"/>
  <c r="F45" i="44"/>
  <c r="F47" i="44"/>
  <c r="F49" i="44"/>
  <c r="F51" i="44"/>
  <c r="F53" i="44"/>
  <c r="J43" i="44"/>
  <c r="J46" i="44"/>
  <c r="J49" i="44"/>
  <c r="F55" i="44"/>
  <c r="J45" i="44"/>
  <c r="J50" i="44"/>
  <c r="J53" i="44"/>
  <c r="K56" i="44"/>
  <c r="J42" i="44"/>
  <c r="J44" i="44"/>
  <c r="J48" i="44"/>
  <c r="J52" i="44"/>
  <c r="J55" i="44"/>
  <c r="J47" i="44"/>
  <c r="J51" i="44"/>
  <c r="J56" i="44" l="1"/>
  <c r="F56" i="44"/>
  <c r="L3" i="44" l="1"/>
  <c r="N3" i="44"/>
  <c r="M3" i="44"/>
  <c r="N55" i="44" l="1"/>
  <c r="N43" i="44"/>
  <c r="N47" i="44"/>
  <c r="N51" i="44"/>
  <c r="N40" i="44"/>
  <c r="N36" i="44"/>
  <c r="N32" i="44"/>
  <c r="N28" i="44"/>
  <c r="N24" i="44"/>
  <c r="N20" i="44"/>
  <c r="N16" i="44"/>
  <c r="N12" i="44"/>
  <c r="N8" i="44"/>
  <c r="N54" i="44"/>
  <c r="N42" i="44"/>
  <c r="N46" i="44"/>
  <c r="N50" i="44"/>
  <c r="N41" i="44"/>
  <c r="N37" i="44"/>
  <c r="N33" i="44"/>
  <c r="N29" i="44"/>
  <c r="N25" i="44"/>
  <c r="N21" i="44"/>
  <c r="N17" i="44"/>
  <c r="N13" i="44"/>
  <c r="N9" i="44"/>
  <c r="N45" i="44"/>
  <c r="N49" i="44"/>
  <c r="N53" i="44"/>
  <c r="N38" i="44"/>
  <c r="N34" i="44"/>
  <c r="N30" i="44"/>
  <c r="N26" i="44"/>
  <c r="N22" i="44"/>
  <c r="N18" i="44"/>
  <c r="N14" i="44"/>
  <c r="N10" i="44"/>
  <c r="N6" i="44"/>
  <c r="N44" i="44"/>
  <c r="N48" i="44"/>
  <c r="N52" i="44"/>
  <c r="N39" i="44"/>
  <c r="N35" i="44"/>
  <c r="N31" i="44"/>
  <c r="N27" i="44"/>
  <c r="N23" i="44"/>
  <c r="N19" i="44"/>
  <c r="N15" i="44"/>
  <c r="N11" i="44"/>
  <c r="N7" i="44"/>
  <c r="N5" i="44"/>
  <c r="M9" i="44"/>
  <c r="M20" i="44"/>
  <c r="M28" i="44"/>
  <c r="M36" i="44"/>
  <c r="M7" i="44"/>
  <c r="M18" i="44"/>
  <c r="M26" i="44"/>
  <c r="M34" i="44"/>
  <c r="M54" i="44"/>
  <c r="M16" i="44"/>
  <c r="M24" i="44"/>
  <c r="M32" i="44"/>
  <c r="M40" i="44"/>
  <c r="M11" i="44"/>
  <c r="M14" i="44"/>
  <c r="M22" i="44"/>
  <c r="M30" i="44"/>
  <c r="M38" i="44"/>
  <c r="M5" i="44"/>
  <c r="M47" i="44"/>
  <c r="M52" i="44"/>
  <c r="M35" i="44"/>
  <c r="M27" i="44"/>
  <c r="M19" i="44"/>
  <c r="M10" i="44"/>
  <c r="M51" i="44"/>
  <c r="M48" i="44"/>
  <c r="M53" i="44"/>
  <c r="M49" i="44"/>
  <c r="M41" i="44"/>
  <c r="M33" i="44"/>
  <c r="M25" i="44"/>
  <c r="M17" i="44"/>
  <c r="M12" i="44"/>
  <c r="M44" i="44"/>
  <c r="M50" i="44"/>
  <c r="M46" i="44"/>
  <c r="M39" i="44"/>
  <c r="M31" i="44"/>
  <c r="M23" i="44"/>
  <c r="M15" i="44"/>
  <c r="M6" i="44"/>
  <c r="M55" i="44"/>
  <c r="M42" i="44"/>
  <c r="M45" i="44"/>
  <c r="M43" i="44"/>
  <c r="M37" i="44"/>
  <c r="M29" i="44"/>
  <c r="M21" i="44"/>
  <c r="M13" i="44"/>
  <c r="M8" i="44"/>
  <c r="L10" i="44"/>
  <c r="L18" i="44"/>
  <c r="L25" i="44"/>
  <c r="L30" i="44"/>
  <c r="L38" i="44"/>
  <c r="L46" i="44"/>
  <c r="L8" i="44"/>
  <c r="L16" i="44"/>
  <c r="L23" i="44"/>
  <c r="L32" i="44"/>
  <c r="L40" i="44"/>
  <c r="L48" i="44"/>
  <c r="L5" i="44"/>
  <c r="L6" i="44"/>
  <c r="L14" i="44"/>
  <c r="L21" i="44"/>
  <c r="L34" i="44"/>
  <c r="L42" i="44"/>
  <c r="L50" i="44"/>
  <c r="L54" i="44"/>
  <c r="L12" i="44"/>
  <c r="L27" i="44"/>
  <c r="L36" i="44"/>
  <c r="L44" i="44"/>
  <c r="L52" i="44"/>
  <c r="L55" i="44"/>
  <c r="L53" i="44"/>
  <c r="L45" i="44"/>
  <c r="L37" i="44"/>
  <c r="L29" i="44"/>
  <c r="L22" i="44"/>
  <c r="L15" i="44"/>
  <c r="L7" i="44"/>
  <c r="L51" i="44"/>
  <c r="L43" i="44"/>
  <c r="L35" i="44"/>
  <c r="L28" i="44"/>
  <c r="L20" i="44"/>
  <c r="L13" i="44"/>
  <c r="L49" i="44"/>
  <c r="L41" i="44"/>
  <c r="L33" i="44"/>
  <c r="L26" i="44"/>
  <c r="L19" i="44"/>
  <c r="L11" i="44"/>
  <c r="L47" i="44"/>
  <c r="L39" i="44"/>
  <c r="L31" i="44"/>
  <c r="L24" i="44"/>
  <c r="L17" i="44"/>
  <c r="L9" i="44"/>
  <c r="O34" i="44" l="1"/>
  <c r="E34" i="51" s="1"/>
  <c r="O13" i="44"/>
  <c r="E13" i="51" s="1"/>
  <c r="O33" i="44"/>
  <c r="E33" i="51" s="1"/>
  <c r="O29" i="44"/>
  <c r="E29" i="51" s="1"/>
  <c r="O46" i="44"/>
  <c r="E46" i="51" s="1"/>
  <c r="O30" i="44"/>
  <c r="E30" i="51" s="1"/>
  <c r="O51" i="44"/>
  <c r="E51" i="51" s="1"/>
  <c r="O11" i="44"/>
  <c r="E11" i="51" s="1"/>
  <c r="O20" i="44"/>
  <c r="E20" i="51" s="1"/>
  <c r="O55" i="44"/>
  <c r="E55" i="51" s="1"/>
  <c r="O17" i="44"/>
  <c r="E17" i="51" s="1"/>
  <c r="O21" i="44"/>
  <c r="E21" i="51" s="1"/>
  <c r="O31" i="44"/>
  <c r="E31" i="51" s="1"/>
  <c r="O35" i="44"/>
  <c r="E35" i="51" s="1"/>
  <c r="O47" i="44"/>
  <c r="E47" i="51" s="1"/>
  <c r="O32" i="44"/>
  <c r="E32" i="51" s="1"/>
  <c r="O18" i="44"/>
  <c r="E18" i="51" s="1"/>
  <c r="O54" i="44"/>
  <c r="E54" i="51" s="1"/>
  <c r="O19" i="44"/>
  <c r="E19" i="51" s="1"/>
  <c r="O15" i="44"/>
  <c r="E15" i="51" s="1"/>
  <c r="O16" i="44"/>
  <c r="E16" i="51" s="1"/>
  <c r="O9" i="44"/>
  <c r="E9" i="51" s="1"/>
  <c r="O24" i="44"/>
  <c r="E24" i="51" s="1"/>
  <c r="O39" i="44"/>
  <c r="E39" i="51" s="1"/>
  <c r="O26" i="44"/>
  <c r="E26" i="51" s="1"/>
  <c r="O41" i="44"/>
  <c r="E41" i="51" s="1"/>
  <c r="O28" i="44"/>
  <c r="E28" i="51" s="1"/>
  <c r="O43" i="44"/>
  <c r="E43" i="51" s="1"/>
  <c r="O7" i="44"/>
  <c r="E7" i="51" s="1"/>
  <c r="O22" i="44"/>
  <c r="E22" i="51" s="1"/>
  <c r="O37" i="44"/>
  <c r="E37" i="51" s="1"/>
  <c r="O36" i="44"/>
  <c r="E36" i="51" s="1"/>
  <c r="O12" i="44"/>
  <c r="E12" i="51" s="1"/>
  <c r="O14" i="44"/>
  <c r="E14" i="51" s="1"/>
  <c r="O40" i="44"/>
  <c r="E40" i="51" s="1"/>
  <c r="O8" i="44"/>
  <c r="E8" i="51" s="1"/>
  <c r="O38" i="44"/>
  <c r="E38" i="51" s="1"/>
  <c r="N56" i="44"/>
  <c r="O45" i="44"/>
  <c r="E45" i="51" s="1"/>
  <c r="O44" i="44"/>
  <c r="E44" i="51" s="1"/>
  <c r="O49" i="44"/>
  <c r="E49" i="51" s="1"/>
  <c r="O48" i="44"/>
  <c r="E48" i="51" s="1"/>
  <c r="O10" i="44"/>
  <c r="E10" i="51" s="1"/>
  <c r="O27" i="44"/>
  <c r="E27" i="51" s="1"/>
  <c r="O52" i="44"/>
  <c r="E52" i="51" s="1"/>
  <c r="M56" i="44"/>
  <c r="L56" i="44"/>
  <c r="O5" i="44"/>
  <c r="E5" i="51" s="1"/>
  <c r="O42" i="44"/>
  <c r="E42" i="51" s="1"/>
  <c r="O6" i="44"/>
  <c r="E6" i="51" s="1"/>
  <c r="O23" i="44"/>
  <c r="E23" i="51" s="1"/>
  <c r="O50" i="44"/>
  <c r="E50" i="51" s="1"/>
  <c r="O25" i="44"/>
  <c r="E25" i="51" s="1"/>
  <c r="O53" i="44"/>
  <c r="E53" i="51" s="1"/>
  <c r="E56" i="51" l="1"/>
  <c r="O56" i="44"/>
  <c r="P23" i="44" s="1"/>
  <c r="P49" i="44" l="1"/>
  <c r="P25" i="44"/>
  <c r="P52" i="44"/>
  <c r="P48" i="44"/>
  <c r="P45" i="44"/>
  <c r="P10" i="44"/>
  <c r="P42" i="44"/>
  <c r="P44" i="44"/>
  <c r="P27" i="44"/>
  <c r="P5" i="44"/>
  <c r="P9" i="44"/>
  <c r="P17" i="44"/>
  <c r="P31" i="44"/>
  <c r="P47" i="44"/>
  <c r="P19" i="44"/>
  <c r="P33" i="44"/>
  <c r="P20" i="44"/>
  <c r="P35" i="44"/>
  <c r="P51" i="44"/>
  <c r="P15" i="44"/>
  <c r="P29" i="44"/>
  <c r="P55" i="44"/>
  <c r="P54" i="44"/>
  <c r="P21" i="44"/>
  <c r="P32" i="44"/>
  <c r="P16" i="44"/>
  <c r="P46" i="44"/>
  <c r="P30" i="44"/>
  <c r="P18" i="44"/>
  <c r="P24" i="44"/>
  <c r="P39" i="44"/>
  <c r="P11" i="44"/>
  <c r="P26" i="44"/>
  <c r="P41" i="44"/>
  <c r="P13" i="44"/>
  <c r="P28" i="44"/>
  <c r="P43" i="44"/>
  <c r="P7" i="44"/>
  <c r="P22" i="44"/>
  <c r="P37" i="44"/>
  <c r="P36" i="44"/>
  <c r="P12" i="44"/>
  <c r="P34" i="44"/>
  <c r="P14" i="44"/>
  <c r="P40" i="44"/>
  <c r="P8" i="44"/>
  <c r="P38" i="44"/>
  <c r="P6" i="44"/>
  <c r="P50" i="44"/>
  <c r="P53" i="44"/>
  <c r="D56" i="1"/>
  <c r="C56" i="1"/>
  <c r="H5" i="36"/>
  <c r="E58" i="36"/>
  <c r="F58" i="36" s="1"/>
  <c r="C58" i="36"/>
  <c r="D57" i="36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47" i="36"/>
  <c r="K56" i="1"/>
  <c r="L8" i="1" s="1"/>
  <c r="M8" i="1" s="1"/>
  <c r="H56" i="1"/>
  <c r="I8" i="1" s="1"/>
  <c r="J8" i="1" s="1"/>
  <c r="D17" i="36" l="1"/>
  <c r="D33" i="36"/>
  <c r="D26" i="36"/>
  <c r="D55" i="36"/>
  <c r="D16" i="36"/>
  <c r="D51" i="36"/>
  <c r="D8" i="36"/>
  <c r="D11" i="36"/>
  <c r="H11" i="36" s="1"/>
  <c r="D7" i="36"/>
  <c r="H7" i="36" s="1"/>
  <c r="D56" i="36"/>
  <c r="H56" i="36" s="1"/>
  <c r="D48" i="36"/>
  <c r="H48" i="36" s="1"/>
  <c r="D39" i="36"/>
  <c r="H39" i="36" s="1"/>
  <c r="D46" i="36"/>
  <c r="H46" i="36" s="1"/>
  <c r="D38" i="36"/>
  <c r="H38" i="36" s="1"/>
  <c r="D29" i="36"/>
  <c r="H29" i="36" s="1"/>
  <c r="D34" i="36"/>
  <c r="H34" i="36" s="1"/>
  <c r="D25" i="36"/>
  <c r="H25" i="36" s="1"/>
  <c r="D21" i="36"/>
  <c r="H21" i="36" s="1"/>
  <c r="L7" i="1"/>
  <c r="M7" i="1" s="1"/>
  <c r="L11" i="1"/>
  <c r="M11" i="1" s="1"/>
  <c r="L24" i="1"/>
  <c r="M24" i="1" s="1"/>
  <c r="D24" i="36"/>
  <c r="H24" i="36" s="1"/>
  <c r="D43" i="36"/>
  <c r="H43" i="36" s="1"/>
  <c r="D12" i="36"/>
  <c r="H12" i="36" s="1"/>
  <c r="I26" i="1"/>
  <c r="J26" i="1" s="1"/>
  <c r="I11" i="1"/>
  <c r="J11" i="1" s="1"/>
  <c r="I28" i="1"/>
  <c r="J28" i="1" s="1"/>
  <c r="I38" i="1"/>
  <c r="J38" i="1" s="1"/>
  <c r="I14" i="1"/>
  <c r="J14" i="1" s="1"/>
  <c r="I20" i="1"/>
  <c r="J20" i="1" s="1"/>
  <c r="I46" i="1"/>
  <c r="J46" i="1" s="1"/>
  <c r="I31" i="1"/>
  <c r="J31" i="1" s="1"/>
  <c r="I36" i="1"/>
  <c r="J36" i="1" s="1"/>
  <c r="D50" i="36"/>
  <c r="H50" i="36" s="1"/>
  <c r="D13" i="36"/>
  <c r="H13" i="36" s="1"/>
  <c r="D35" i="36"/>
  <c r="H35" i="36" s="1"/>
  <c r="D30" i="36"/>
  <c r="I22" i="1"/>
  <c r="J22" i="1" s="1"/>
  <c r="L32" i="1"/>
  <c r="M32" i="1" s="1"/>
  <c r="I23" i="1"/>
  <c r="J23" i="1" s="1"/>
  <c r="I49" i="1"/>
  <c r="J49" i="1" s="1"/>
  <c r="D53" i="36"/>
  <c r="H53" i="36" s="1"/>
  <c r="D49" i="36"/>
  <c r="H49" i="36" s="1"/>
  <c r="D52" i="36"/>
  <c r="H52" i="36" s="1"/>
  <c r="D45" i="36"/>
  <c r="H45" i="36" s="1"/>
  <c r="D41" i="36"/>
  <c r="H41" i="36" s="1"/>
  <c r="D54" i="36"/>
  <c r="H54" i="36" s="1"/>
  <c r="D42" i="36"/>
  <c r="D36" i="36"/>
  <c r="H36" i="36" s="1"/>
  <c r="D32" i="36"/>
  <c r="H32" i="36" s="1"/>
  <c r="D40" i="36"/>
  <c r="H40" i="36" s="1"/>
  <c r="D31" i="36"/>
  <c r="H31" i="36" s="1"/>
  <c r="D27" i="36"/>
  <c r="H27" i="36" s="1"/>
  <c r="D23" i="36"/>
  <c r="H23" i="36" s="1"/>
  <c r="D19" i="36"/>
  <c r="H19" i="36" s="1"/>
  <c r="D44" i="36"/>
  <c r="H44" i="36" s="1"/>
  <c r="D28" i="36"/>
  <c r="H28" i="36" s="1"/>
  <c r="D20" i="36"/>
  <c r="H20" i="36" s="1"/>
  <c r="D14" i="36"/>
  <c r="H14" i="36" s="1"/>
  <c r="D10" i="36"/>
  <c r="D37" i="36"/>
  <c r="H37" i="36" s="1"/>
  <c r="D18" i="36"/>
  <c r="H18" i="36" s="1"/>
  <c r="D9" i="36"/>
  <c r="D15" i="36"/>
  <c r="H15" i="36" s="1"/>
  <c r="D22" i="36"/>
  <c r="H22" i="36" s="1"/>
  <c r="F7" i="36"/>
  <c r="F16" i="36"/>
  <c r="L9" i="1"/>
  <c r="M9" i="1" s="1"/>
  <c r="L13" i="1"/>
  <c r="M13" i="1" s="1"/>
  <c r="I16" i="1"/>
  <c r="J16" i="1" s="1"/>
  <c r="I24" i="1"/>
  <c r="J24" i="1" s="1"/>
  <c r="N24" i="1" s="1"/>
  <c r="I32" i="1"/>
  <c r="J32" i="1" s="1"/>
  <c r="I6" i="1"/>
  <c r="J6" i="1" s="1"/>
  <c r="I39" i="1"/>
  <c r="J39" i="1" s="1"/>
  <c r="I48" i="1"/>
  <c r="J48" i="1" s="1"/>
  <c r="I18" i="1"/>
  <c r="J18" i="1" s="1"/>
  <c r="I34" i="1"/>
  <c r="J34" i="1" s="1"/>
  <c r="I42" i="1"/>
  <c r="J42" i="1" s="1"/>
  <c r="I54" i="1"/>
  <c r="J54" i="1" s="1"/>
  <c r="I45" i="1"/>
  <c r="J45" i="1" s="1"/>
  <c r="I7" i="1"/>
  <c r="J7" i="1" s="1"/>
  <c r="I52" i="1"/>
  <c r="J52" i="1" s="1"/>
  <c r="I44" i="1"/>
  <c r="J44" i="1" s="1"/>
  <c r="L16" i="1"/>
  <c r="M16" i="1" s="1"/>
  <c r="L56" i="1"/>
  <c r="L5" i="1"/>
  <c r="M5" i="1" s="1"/>
  <c r="L52" i="1"/>
  <c r="M52" i="1" s="1"/>
  <c r="L44" i="1"/>
  <c r="M44" i="1" s="1"/>
  <c r="L36" i="1"/>
  <c r="M36" i="1" s="1"/>
  <c r="L28" i="1"/>
  <c r="M28" i="1" s="1"/>
  <c r="L20" i="1"/>
  <c r="M20" i="1" s="1"/>
  <c r="L12" i="1"/>
  <c r="M12" i="1" s="1"/>
  <c r="L54" i="1"/>
  <c r="M54" i="1" s="1"/>
  <c r="L50" i="1"/>
  <c r="M50" i="1" s="1"/>
  <c r="L46" i="1"/>
  <c r="M46" i="1" s="1"/>
  <c r="L42" i="1"/>
  <c r="M42" i="1" s="1"/>
  <c r="L38" i="1"/>
  <c r="M38" i="1" s="1"/>
  <c r="L34" i="1"/>
  <c r="M34" i="1" s="1"/>
  <c r="L30" i="1"/>
  <c r="M30" i="1" s="1"/>
  <c r="L26" i="1"/>
  <c r="M26" i="1" s="1"/>
  <c r="L22" i="1"/>
  <c r="M22" i="1" s="1"/>
  <c r="L18" i="1"/>
  <c r="M18" i="1" s="1"/>
  <c r="L14" i="1"/>
  <c r="M14" i="1" s="1"/>
  <c r="L10" i="1"/>
  <c r="M10" i="1" s="1"/>
  <c r="L6" i="1"/>
  <c r="M6" i="1" s="1"/>
  <c r="L55" i="1"/>
  <c r="M55" i="1" s="1"/>
  <c r="L53" i="1"/>
  <c r="M53" i="1" s="1"/>
  <c r="L51" i="1"/>
  <c r="M51" i="1" s="1"/>
  <c r="L49" i="1"/>
  <c r="M49" i="1" s="1"/>
  <c r="L47" i="1"/>
  <c r="M47" i="1" s="1"/>
  <c r="L45" i="1"/>
  <c r="M45" i="1" s="1"/>
  <c r="L43" i="1"/>
  <c r="M43" i="1" s="1"/>
  <c r="L41" i="1"/>
  <c r="M41" i="1" s="1"/>
  <c r="L39" i="1"/>
  <c r="M39" i="1" s="1"/>
  <c r="L37" i="1"/>
  <c r="M37" i="1" s="1"/>
  <c r="L35" i="1"/>
  <c r="M35" i="1" s="1"/>
  <c r="L33" i="1"/>
  <c r="M33" i="1" s="1"/>
  <c r="L31" i="1"/>
  <c r="M31" i="1" s="1"/>
  <c r="L29" i="1"/>
  <c r="M29" i="1" s="1"/>
  <c r="L27" i="1"/>
  <c r="M27" i="1" s="1"/>
  <c r="L25" i="1"/>
  <c r="M25" i="1" s="1"/>
  <c r="L23" i="1"/>
  <c r="M23" i="1" s="1"/>
  <c r="L21" i="1"/>
  <c r="M21" i="1" s="1"/>
  <c r="L19" i="1"/>
  <c r="M19" i="1" s="1"/>
  <c r="L17" i="1"/>
  <c r="M17" i="1" s="1"/>
  <c r="L15" i="1"/>
  <c r="M15" i="1" s="1"/>
  <c r="L48" i="1"/>
  <c r="M48" i="1" s="1"/>
  <c r="N48" i="1" s="1"/>
  <c r="L40" i="1"/>
  <c r="M40" i="1" s="1"/>
  <c r="N8" i="1"/>
  <c r="P56" i="44"/>
  <c r="F27" i="36"/>
  <c r="F22" i="36"/>
  <c r="F43" i="36"/>
  <c r="F54" i="36"/>
  <c r="F28" i="36"/>
  <c r="F51" i="36"/>
  <c r="F35" i="36"/>
  <c r="F19" i="36"/>
  <c r="F38" i="36"/>
  <c r="F10" i="36"/>
  <c r="F40" i="36"/>
  <c r="F55" i="36"/>
  <c r="F47" i="36"/>
  <c r="F39" i="36"/>
  <c r="F31" i="36"/>
  <c r="F23" i="36"/>
  <c r="F15" i="36"/>
  <c r="F48" i="36"/>
  <c r="F50" i="36"/>
  <c r="F46" i="36"/>
  <c r="F30" i="36"/>
  <c r="F14" i="36"/>
  <c r="F44" i="36"/>
  <c r="F13" i="36"/>
  <c r="F11" i="36"/>
  <c r="F57" i="36"/>
  <c r="F53" i="36"/>
  <c r="F49" i="36"/>
  <c r="F45" i="36"/>
  <c r="F41" i="36"/>
  <c r="F37" i="36"/>
  <c r="F33" i="36"/>
  <c r="F29" i="36"/>
  <c r="F25" i="36"/>
  <c r="F21" i="36"/>
  <c r="F17" i="36"/>
  <c r="F56" i="36"/>
  <c r="F52" i="36"/>
  <c r="F42" i="36"/>
  <c r="F34" i="36"/>
  <c r="F26" i="36"/>
  <c r="F18" i="36"/>
  <c r="F12" i="36"/>
  <c r="F8" i="36"/>
  <c r="F36" i="36"/>
  <c r="F20" i="36"/>
  <c r="F9" i="36"/>
  <c r="F24" i="36"/>
  <c r="F32" i="36"/>
  <c r="I12" i="1"/>
  <c r="J12" i="1" s="1"/>
  <c r="I17" i="1"/>
  <c r="J17" i="1" s="1"/>
  <c r="I21" i="1"/>
  <c r="J21" i="1" s="1"/>
  <c r="I25" i="1"/>
  <c r="J25" i="1" s="1"/>
  <c r="I29" i="1"/>
  <c r="J29" i="1" s="1"/>
  <c r="I33" i="1"/>
  <c r="J33" i="1" s="1"/>
  <c r="I37" i="1"/>
  <c r="J37" i="1" s="1"/>
  <c r="I41" i="1"/>
  <c r="J41" i="1" s="1"/>
  <c r="I10" i="1"/>
  <c r="J10" i="1" s="1"/>
  <c r="I19" i="1"/>
  <c r="J19" i="1" s="1"/>
  <c r="I27" i="1"/>
  <c r="J27" i="1" s="1"/>
  <c r="I35" i="1"/>
  <c r="J35" i="1" s="1"/>
  <c r="I43" i="1"/>
  <c r="J43" i="1" s="1"/>
  <c r="I47" i="1"/>
  <c r="J47" i="1" s="1"/>
  <c r="I51" i="1"/>
  <c r="J51" i="1" s="1"/>
  <c r="I55" i="1"/>
  <c r="J55" i="1" s="1"/>
  <c r="I5" i="1"/>
  <c r="I9" i="1"/>
  <c r="J9" i="1" s="1"/>
  <c r="I13" i="1"/>
  <c r="J13" i="1" s="1"/>
  <c r="I53" i="1"/>
  <c r="J53" i="1" s="1"/>
  <c r="I15" i="1"/>
  <c r="J15" i="1" s="1"/>
  <c r="I30" i="1"/>
  <c r="J30" i="1" s="1"/>
  <c r="I40" i="1"/>
  <c r="J40" i="1" s="1"/>
  <c r="I50" i="1"/>
  <c r="J50" i="1" s="1"/>
  <c r="H55" i="36"/>
  <c r="H47" i="36"/>
  <c r="H10" i="36"/>
  <c r="H26" i="36"/>
  <c r="H42" i="36"/>
  <c r="Z3" i="1"/>
  <c r="H57" i="36"/>
  <c r="H33" i="36"/>
  <c r="H17" i="36"/>
  <c r="H16" i="36"/>
  <c r="H8" i="36"/>
  <c r="I5" i="36"/>
  <c r="J5" i="36"/>
  <c r="H30" i="36"/>
  <c r="H51" i="36"/>
  <c r="E56" i="1"/>
  <c r="F56" i="1"/>
  <c r="G5" i="1" s="1"/>
  <c r="N13" i="1" l="1"/>
  <c r="N28" i="1"/>
  <c r="N22" i="1"/>
  <c r="N11" i="1"/>
  <c r="N7" i="1"/>
  <c r="N39" i="1"/>
  <c r="N37" i="1"/>
  <c r="N27" i="1"/>
  <c r="N26" i="1"/>
  <c r="N18" i="1"/>
  <c r="N23" i="1"/>
  <c r="N49" i="1"/>
  <c r="N38" i="1"/>
  <c r="N14" i="1"/>
  <c r="N51" i="1"/>
  <c r="N36" i="1"/>
  <c r="N15" i="1"/>
  <c r="N10" i="1"/>
  <c r="N20" i="1"/>
  <c r="N9" i="1"/>
  <c r="N31" i="1"/>
  <c r="N32" i="1"/>
  <c r="N21" i="1"/>
  <c r="N54" i="1"/>
  <c r="N44" i="1"/>
  <c r="N46" i="1"/>
  <c r="D58" i="36"/>
  <c r="H9" i="36"/>
  <c r="H58" i="36" s="1"/>
  <c r="N6" i="1"/>
  <c r="N43" i="1"/>
  <c r="N12" i="1"/>
  <c r="N40" i="1"/>
  <c r="N29" i="1"/>
  <c r="N42" i="1"/>
  <c r="N16" i="1"/>
  <c r="G48" i="1"/>
  <c r="Z48" i="1" s="1"/>
  <c r="G46" i="1"/>
  <c r="Z46" i="1" s="1"/>
  <c r="G37" i="1"/>
  <c r="Z37" i="1" s="1"/>
  <c r="G31" i="1"/>
  <c r="Z31" i="1" s="1"/>
  <c r="G29" i="1"/>
  <c r="Z29" i="1" s="1"/>
  <c r="G25" i="1"/>
  <c r="Z25" i="1" s="1"/>
  <c r="G41" i="1"/>
  <c r="Z41" i="1" s="1"/>
  <c r="N30" i="1"/>
  <c r="N53" i="1"/>
  <c r="N41" i="1"/>
  <c r="N33" i="1"/>
  <c r="N25" i="1"/>
  <c r="N17" i="1"/>
  <c r="N34" i="1"/>
  <c r="G23" i="1"/>
  <c r="Z23" i="1" s="1"/>
  <c r="G15" i="1"/>
  <c r="Z15" i="1" s="1"/>
  <c r="G13" i="1"/>
  <c r="Z13" i="1" s="1"/>
  <c r="G8" i="1"/>
  <c r="Z8" i="1" s="1"/>
  <c r="G6" i="1"/>
  <c r="Z6" i="1" s="1"/>
  <c r="G49" i="1"/>
  <c r="Z49" i="1" s="1"/>
  <c r="G47" i="1"/>
  <c r="Z47" i="1" s="1"/>
  <c r="G43" i="1"/>
  <c r="Z43" i="1" s="1"/>
  <c r="G38" i="1"/>
  <c r="Z38" i="1" s="1"/>
  <c r="G32" i="1"/>
  <c r="Z32" i="1" s="1"/>
  <c r="G30" i="1"/>
  <c r="Z30" i="1" s="1"/>
  <c r="G26" i="1"/>
  <c r="Z26" i="1" s="1"/>
  <c r="G24" i="1"/>
  <c r="Z24" i="1" s="1"/>
  <c r="G16" i="1"/>
  <c r="Z16" i="1" s="1"/>
  <c r="G14" i="1"/>
  <c r="Z14" i="1" s="1"/>
  <c r="G11" i="1"/>
  <c r="Z11" i="1" s="1"/>
  <c r="G7" i="1"/>
  <c r="Z7" i="1" s="1"/>
  <c r="N52" i="1"/>
  <c r="N45" i="1"/>
  <c r="M56" i="1"/>
  <c r="N50" i="1"/>
  <c r="N55" i="1"/>
  <c r="N47" i="1"/>
  <c r="N35" i="1"/>
  <c r="N19" i="1"/>
  <c r="J5" i="1"/>
  <c r="I56" i="1"/>
  <c r="AB3" i="1"/>
  <c r="AA3" i="1"/>
  <c r="I13" i="36"/>
  <c r="I50" i="36"/>
  <c r="I9" i="36"/>
  <c r="I8" i="36"/>
  <c r="I12" i="36"/>
  <c r="I20" i="36"/>
  <c r="I54" i="36"/>
  <c r="I56" i="36"/>
  <c r="I15" i="36"/>
  <c r="I17" i="36"/>
  <c r="I19" i="36"/>
  <c r="I21" i="36"/>
  <c r="I23" i="36"/>
  <c r="I25" i="36"/>
  <c r="I27" i="36"/>
  <c r="I29" i="36"/>
  <c r="I31" i="36"/>
  <c r="I33" i="36"/>
  <c r="I35" i="36"/>
  <c r="I37" i="36"/>
  <c r="I39" i="36"/>
  <c r="I41" i="36"/>
  <c r="I43" i="36"/>
  <c r="I45" i="36"/>
  <c r="I47" i="36"/>
  <c r="I49" i="36"/>
  <c r="I51" i="36"/>
  <c r="I53" i="36"/>
  <c r="I55" i="36"/>
  <c r="I57" i="36"/>
  <c r="I28" i="36"/>
  <c r="I36" i="36"/>
  <c r="I44" i="36"/>
  <c r="I18" i="36"/>
  <c r="I22" i="36"/>
  <c r="I26" i="36"/>
  <c r="I30" i="36"/>
  <c r="I34" i="36"/>
  <c r="I38" i="36"/>
  <c r="I42" i="36"/>
  <c r="I46" i="36"/>
  <c r="I48" i="36"/>
  <c r="I52" i="36"/>
  <c r="I7" i="36"/>
  <c r="I10" i="36"/>
  <c r="I32" i="36"/>
  <c r="I16" i="36"/>
  <c r="I24" i="36"/>
  <c r="I40" i="36"/>
  <c r="I11" i="36"/>
  <c r="I14" i="36"/>
  <c r="Z5" i="1"/>
  <c r="G55" i="1"/>
  <c r="Z55" i="1" s="1"/>
  <c r="G35" i="1"/>
  <c r="Z35" i="1" s="1"/>
  <c r="G51" i="1"/>
  <c r="Z51" i="1" s="1"/>
  <c r="G19" i="1"/>
  <c r="Z19" i="1" s="1"/>
  <c r="G36" i="1"/>
  <c r="Z36" i="1" s="1"/>
  <c r="G52" i="1"/>
  <c r="Z52" i="1" s="1"/>
  <c r="G40" i="1"/>
  <c r="Z40" i="1" s="1"/>
  <c r="G21" i="1"/>
  <c r="Z21" i="1" s="1"/>
  <c r="G53" i="1"/>
  <c r="Z53" i="1" s="1"/>
  <c r="G44" i="1"/>
  <c r="Z44" i="1" s="1"/>
  <c r="G34" i="1"/>
  <c r="Z34" i="1" s="1"/>
  <c r="G27" i="1"/>
  <c r="Z27" i="1" s="1"/>
  <c r="G12" i="1"/>
  <c r="Z12" i="1" s="1"/>
  <c r="G42" i="1"/>
  <c r="Z42" i="1" s="1"/>
  <c r="G28" i="1"/>
  <c r="Z28" i="1" s="1"/>
  <c r="G18" i="1"/>
  <c r="Z18" i="1" s="1"/>
  <c r="G39" i="1"/>
  <c r="Z39" i="1" s="1"/>
  <c r="G17" i="1"/>
  <c r="Z17" i="1" s="1"/>
  <c r="G20" i="1"/>
  <c r="Z20" i="1" s="1"/>
  <c r="G10" i="1"/>
  <c r="Z10" i="1" s="1"/>
  <c r="G54" i="1"/>
  <c r="Z54" i="1" s="1"/>
  <c r="G50" i="1"/>
  <c r="Z50" i="1" s="1"/>
  <c r="G45" i="1"/>
  <c r="Z45" i="1" s="1"/>
  <c r="G9" i="1"/>
  <c r="Z9" i="1" s="1"/>
  <c r="G22" i="1"/>
  <c r="Z22" i="1" s="1"/>
  <c r="G33" i="1"/>
  <c r="Z33" i="1" s="1"/>
  <c r="AA34" i="1" l="1"/>
  <c r="N5" i="1"/>
  <c r="N56" i="1" s="1"/>
  <c r="J56" i="1"/>
  <c r="AA52" i="1"/>
  <c r="AA14" i="1"/>
  <c r="AA51" i="1"/>
  <c r="AA22" i="1"/>
  <c r="AA10" i="1"/>
  <c r="AA33" i="1"/>
  <c r="AA46" i="1"/>
  <c r="AA7" i="1"/>
  <c r="AA24" i="1"/>
  <c r="AA13" i="1"/>
  <c r="AA44" i="1"/>
  <c r="AA45" i="1"/>
  <c r="AA19" i="1"/>
  <c r="AA9" i="1"/>
  <c r="AA36" i="1"/>
  <c r="AA32" i="1"/>
  <c r="AA8" i="1"/>
  <c r="AA38" i="1"/>
  <c r="AA20" i="1"/>
  <c r="AA48" i="1"/>
  <c r="AA41" i="1"/>
  <c r="AA6" i="1"/>
  <c r="AA23" i="1"/>
  <c r="AA15" i="1"/>
  <c r="AA49" i="1"/>
  <c r="AA37" i="1"/>
  <c r="AA25" i="1"/>
  <c r="AA28" i="1"/>
  <c r="AA43" i="1"/>
  <c r="AA40" i="1"/>
  <c r="AA17" i="1"/>
  <c r="AA30" i="1"/>
  <c r="AA39" i="1"/>
  <c r="AA18" i="1"/>
  <c r="AA50" i="1"/>
  <c r="AA35" i="1"/>
  <c r="AA42" i="1"/>
  <c r="AA54" i="1"/>
  <c r="AA27" i="1"/>
  <c r="AA53" i="1"/>
  <c r="AA16" i="1"/>
  <c r="AA12" i="1"/>
  <c r="AA47" i="1"/>
  <c r="AA55" i="1"/>
  <c r="AA26" i="1"/>
  <c r="AA21" i="1"/>
  <c r="AA29" i="1"/>
  <c r="AA11" i="1"/>
  <c r="AA31" i="1"/>
  <c r="I58" i="36"/>
  <c r="G56" i="1"/>
  <c r="Z56" i="1"/>
  <c r="U56" i="1" l="1"/>
  <c r="X56" i="1"/>
  <c r="AA5" i="1"/>
  <c r="AA56" i="1" s="1"/>
  <c r="AB34" i="1" l="1"/>
  <c r="AC34" i="1" s="1"/>
  <c r="AB9" i="1" l="1"/>
  <c r="AC9" i="1" s="1"/>
  <c r="AB47" i="1"/>
  <c r="AC47" i="1" s="1"/>
  <c r="AB19" i="1"/>
  <c r="AC19" i="1" s="1"/>
  <c r="AB21" i="1"/>
  <c r="AC21" i="1" s="1"/>
  <c r="AB23" i="1"/>
  <c r="AC23" i="1" s="1"/>
  <c r="AB22" i="1"/>
  <c r="AC22" i="1" s="1"/>
  <c r="AB7" i="1"/>
  <c r="AC7" i="1" s="1"/>
  <c r="AB51" i="1"/>
  <c r="AC51" i="1" s="1"/>
  <c r="AB39" i="1"/>
  <c r="AC39" i="1" s="1"/>
  <c r="AB6" i="1"/>
  <c r="AC6" i="1" s="1"/>
  <c r="AB27" i="1"/>
  <c r="AC27" i="1" s="1"/>
  <c r="AB41" i="1"/>
  <c r="AC41" i="1" s="1"/>
  <c r="AB32" i="1"/>
  <c r="AC32" i="1" s="1"/>
  <c r="AB52" i="1"/>
  <c r="AC52" i="1" s="1"/>
  <c r="AB44" i="1"/>
  <c r="AC44" i="1" s="1"/>
  <c r="AB10" i="1"/>
  <c r="AC10" i="1" s="1"/>
  <c r="AB28" i="1"/>
  <c r="AC28" i="1" s="1"/>
  <c r="AB43" i="1"/>
  <c r="AC43" i="1" s="1"/>
  <c r="AB11" i="1"/>
  <c r="AC11" i="1" s="1"/>
  <c r="AB40" i="1"/>
  <c r="AC40" i="1" s="1"/>
  <c r="AB45" i="1"/>
  <c r="AC45" i="1" s="1"/>
  <c r="AB29" i="1"/>
  <c r="AC29" i="1" s="1"/>
  <c r="AB38" i="1"/>
  <c r="AC38" i="1" s="1"/>
  <c r="AB13" i="1"/>
  <c r="AC13" i="1" s="1"/>
  <c r="AB36" i="1"/>
  <c r="AC36" i="1" s="1"/>
  <c r="AB25" i="1"/>
  <c r="AC25" i="1" s="1"/>
  <c r="AB33" i="1"/>
  <c r="AC33" i="1" s="1"/>
  <c r="AB48" i="1"/>
  <c r="AC48" i="1" s="1"/>
  <c r="AB50" i="1"/>
  <c r="AC50" i="1" s="1"/>
  <c r="AB37" i="1"/>
  <c r="AC37" i="1" s="1"/>
  <c r="AB26" i="1"/>
  <c r="AC26" i="1" s="1"/>
  <c r="AB14" i="1"/>
  <c r="AC14" i="1" s="1"/>
  <c r="AB35" i="1"/>
  <c r="AC35" i="1" s="1"/>
  <c r="AB31" i="1"/>
  <c r="AC31" i="1" s="1"/>
  <c r="AB24" i="1"/>
  <c r="AC24" i="1" s="1"/>
  <c r="AB8" i="1"/>
  <c r="AC8" i="1" s="1"/>
  <c r="AB30" i="1"/>
  <c r="AC30" i="1" s="1"/>
  <c r="AB17" i="1"/>
  <c r="AC17" i="1" s="1"/>
  <c r="AB16" i="1"/>
  <c r="AC16" i="1" s="1"/>
  <c r="AB55" i="1"/>
  <c r="AC55" i="1" s="1"/>
  <c r="AB12" i="1"/>
  <c r="AC12" i="1" s="1"/>
  <c r="AB54" i="1"/>
  <c r="AC54" i="1" s="1"/>
  <c r="AB49" i="1"/>
  <c r="AC49" i="1" s="1"/>
  <c r="AB42" i="1"/>
  <c r="AC42" i="1" s="1"/>
  <c r="AB18" i="1"/>
  <c r="AC18" i="1" s="1"/>
  <c r="AB46" i="1"/>
  <c r="AC46" i="1" s="1"/>
  <c r="AB20" i="1"/>
  <c r="AC20" i="1" s="1"/>
  <c r="AB53" i="1"/>
  <c r="AC53" i="1" s="1"/>
  <c r="AB15" i="1"/>
  <c r="AC15" i="1" s="1"/>
  <c r="AB5" i="1" l="1"/>
  <c r="Y56" i="1"/>
  <c r="AB56" i="1" l="1"/>
  <c r="AC5" i="1"/>
  <c r="AC56" i="1" l="1"/>
  <c r="AD5" i="1" l="1"/>
  <c r="AD29" i="1"/>
  <c r="AD55" i="1"/>
  <c r="AD22" i="1"/>
  <c r="AD25" i="1"/>
  <c r="AD30" i="1"/>
  <c r="AD38" i="1"/>
  <c r="AD26" i="1"/>
  <c r="AD33" i="1"/>
  <c r="AD6" i="1"/>
  <c r="AD50" i="1"/>
  <c r="AD46" i="1"/>
  <c r="AD54" i="1"/>
  <c r="AD17" i="1"/>
  <c r="AD44" i="1"/>
  <c r="AD51" i="1"/>
  <c r="AD37" i="1"/>
  <c r="AD11" i="1"/>
  <c r="AD41" i="1"/>
  <c r="AD8" i="1"/>
  <c r="AD36" i="1"/>
  <c r="AD34" i="1"/>
  <c r="AD39" i="1"/>
  <c r="AD43" i="1"/>
  <c r="AD21" i="1"/>
  <c r="AD13" i="1"/>
  <c r="AD53" i="1"/>
  <c r="AD16" i="1"/>
  <c r="AD35" i="1"/>
  <c r="AD32" i="1"/>
  <c r="AD47" i="1"/>
  <c r="AD49" i="1"/>
  <c r="AD24" i="1"/>
  <c r="AD27" i="1"/>
  <c r="AD14" i="1"/>
  <c r="AD12" i="1"/>
  <c r="AD9" i="1"/>
  <c r="AD28" i="1"/>
  <c r="AD15" i="1"/>
  <c r="AD18" i="1"/>
  <c r="AD10" i="1"/>
  <c r="AD23" i="1"/>
  <c r="AD20" i="1"/>
  <c r="AD52" i="1"/>
  <c r="AD42" i="1"/>
  <c r="AD45" i="1"/>
  <c r="AD31" i="1"/>
  <c r="AD48" i="1"/>
  <c r="AD40" i="1"/>
  <c r="AD19" i="1"/>
  <c r="AD7" i="1"/>
  <c r="G47" i="52" l="1"/>
  <c r="H47" i="51" s="1"/>
  <c r="G49" i="36"/>
  <c r="H47" i="52"/>
  <c r="I47" i="51" s="1"/>
  <c r="D47" i="52"/>
  <c r="D47" i="51" s="1"/>
  <c r="E47" i="52"/>
  <c r="F47" i="51" s="1"/>
  <c r="F47" i="52"/>
  <c r="G47" i="51" s="1"/>
  <c r="C47" i="52"/>
  <c r="C47" i="51" s="1"/>
  <c r="G49" i="52"/>
  <c r="H49" i="51" s="1"/>
  <c r="G51" i="36"/>
  <c r="F49" i="52"/>
  <c r="G49" i="51" s="1"/>
  <c r="E49" i="52"/>
  <c r="F49" i="51" s="1"/>
  <c r="H49" i="52"/>
  <c r="I49" i="51" s="1"/>
  <c r="D49" i="52"/>
  <c r="D49" i="51" s="1"/>
  <c r="C49" i="52"/>
  <c r="C49" i="51" s="1"/>
  <c r="G45" i="52"/>
  <c r="H45" i="51" s="1"/>
  <c r="G47" i="36"/>
  <c r="J47" i="36" s="1"/>
  <c r="K47" i="36" s="1"/>
  <c r="J45" i="51" s="1"/>
  <c r="H45" i="52"/>
  <c r="I45" i="51" s="1"/>
  <c r="E45" i="52"/>
  <c r="F45" i="51" s="1"/>
  <c r="F45" i="52"/>
  <c r="G45" i="51" s="1"/>
  <c r="D45" i="52"/>
  <c r="D45" i="51" s="1"/>
  <c r="C45" i="52"/>
  <c r="C45" i="51" s="1"/>
  <c r="G42" i="52"/>
  <c r="H42" i="51" s="1"/>
  <c r="G44" i="36"/>
  <c r="J44" i="36" s="1"/>
  <c r="K44" i="36" s="1"/>
  <c r="J42" i="51" s="1"/>
  <c r="D42" i="52"/>
  <c r="D42" i="51" s="1"/>
  <c r="H42" i="52"/>
  <c r="I42" i="51" s="1"/>
  <c r="E42" i="52"/>
  <c r="F42" i="51" s="1"/>
  <c r="F42" i="52"/>
  <c r="G42" i="51" s="1"/>
  <c r="C42" i="52"/>
  <c r="C42" i="51" s="1"/>
  <c r="G6" i="52"/>
  <c r="H6" i="51" s="1"/>
  <c r="G8" i="36"/>
  <c r="J8" i="36" s="1"/>
  <c r="K8" i="36" s="1"/>
  <c r="J6" i="51" s="1"/>
  <c r="F6" i="52"/>
  <c r="G6" i="51" s="1"/>
  <c r="H6" i="52"/>
  <c r="I6" i="51" s="1"/>
  <c r="D6" i="52"/>
  <c r="D6" i="51" s="1"/>
  <c r="E6" i="52"/>
  <c r="F6" i="51" s="1"/>
  <c r="C6" i="52"/>
  <c r="C6" i="51" s="1"/>
  <c r="G44" i="52"/>
  <c r="H44" i="51" s="1"/>
  <c r="G46" i="36"/>
  <c r="J46" i="36" s="1"/>
  <c r="K46" i="36" s="1"/>
  <c r="J44" i="51" s="1"/>
  <c r="D44" i="52"/>
  <c r="D44" i="51" s="1"/>
  <c r="H44" i="52"/>
  <c r="I44" i="51" s="1"/>
  <c r="F44" i="52"/>
  <c r="G44" i="51" s="1"/>
  <c r="E44" i="52"/>
  <c r="F44" i="51" s="1"/>
  <c r="C44" i="52"/>
  <c r="C44" i="51" s="1"/>
  <c r="G54" i="52"/>
  <c r="H54" i="51" s="1"/>
  <c r="G56" i="36"/>
  <c r="J56" i="36" s="1"/>
  <c r="K56" i="36" s="1"/>
  <c r="J54" i="51" s="1"/>
  <c r="D54" i="52"/>
  <c r="D54" i="51" s="1"/>
  <c r="H54" i="52"/>
  <c r="I54" i="51" s="1"/>
  <c r="F54" i="52"/>
  <c r="G54" i="51" s="1"/>
  <c r="E54" i="52"/>
  <c r="F54" i="51" s="1"/>
  <c r="C54" i="52"/>
  <c r="C54" i="51" s="1"/>
  <c r="G53" i="52"/>
  <c r="H53" i="51" s="1"/>
  <c r="G55" i="36"/>
  <c r="J55" i="36" s="1"/>
  <c r="K55" i="36" s="1"/>
  <c r="J53" i="51" s="1"/>
  <c r="F53" i="52"/>
  <c r="G53" i="51" s="1"/>
  <c r="E53" i="52"/>
  <c r="F53" i="51" s="1"/>
  <c r="D53" i="52"/>
  <c r="D53" i="51" s="1"/>
  <c r="H53" i="52"/>
  <c r="I53" i="51" s="1"/>
  <c r="C53" i="52"/>
  <c r="C53" i="51" s="1"/>
  <c r="G21" i="52"/>
  <c r="H21" i="51" s="1"/>
  <c r="G23" i="36"/>
  <c r="J23" i="36" s="1"/>
  <c r="K23" i="36" s="1"/>
  <c r="J21" i="51" s="1"/>
  <c r="F21" i="52"/>
  <c r="G21" i="51" s="1"/>
  <c r="H21" i="52"/>
  <c r="I21" i="51" s="1"/>
  <c r="E21" i="52"/>
  <c r="F21" i="51" s="1"/>
  <c r="D21" i="52"/>
  <c r="D21" i="51" s="1"/>
  <c r="C21" i="52"/>
  <c r="C21" i="51" s="1"/>
  <c r="G18" i="52"/>
  <c r="H18" i="51" s="1"/>
  <c r="G20" i="36"/>
  <c r="J20" i="36" s="1"/>
  <c r="K20" i="36" s="1"/>
  <c r="J18" i="51" s="1"/>
  <c r="E18" i="52"/>
  <c r="F18" i="51" s="1"/>
  <c r="H18" i="52"/>
  <c r="I18" i="51" s="1"/>
  <c r="D18" i="52"/>
  <c r="D18" i="51" s="1"/>
  <c r="F18" i="52"/>
  <c r="G18" i="51" s="1"/>
  <c r="C18" i="52"/>
  <c r="C18" i="51" s="1"/>
  <c r="G15" i="52"/>
  <c r="H15" i="51" s="1"/>
  <c r="G17" i="36"/>
  <c r="F15" i="52"/>
  <c r="G15" i="51" s="1"/>
  <c r="H15" i="52"/>
  <c r="I15" i="51" s="1"/>
  <c r="D15" i="52"/>
  <c r="D15" i="51" s="1"/>
  <c r="E15" i="52"/>
  <c r="F15" i="51" s="1"/>
  <c r="C15" i="52"/>
  <c r="C15" i="51" s="1"/>
  <c r="G14" i="52"/>
  <c r="H14" i="51" s="1"/>
  <c r="G16" i="36"/>
  <c r="J16" i="36" s="1"/>
  <c r="K16" i="36" s="1"/>
  <c r="J14" i="51" s="1"/>
  <c r="D14" i="52"/>
  <c r="D14" i="51" s="1"/>
  <c r="E14" i="52"/>
  <c r="F14" i="51" s="1"/>
  <c r="F14" i="52"/>
  <c r="G14" i="51" s="1"/>
  <c r="H14" i="52"/>
  <c r="I14" i="51" s="1"/>
  <c r="C14" i="52"/>
  <c r="C14" i="51" s="1"/>
  <c r="G51" i="52"/>
  <c r="H51" i="51" s="1"/>
  <c r="G53" i="36"/>
  <c r="E51" i="52"/>
  <c r="F51" i="51" s="1"/>
  <c r="H51" i="52"/>
  <c r="I51" i="51" s="1"/>
  <c r="F51" i="52"/>
  <c r="G51" i="51" s="1"/>
  <c r="D51" i="52"/>
  <c r="D51" i="51" s="1"/>
  <c r="C51" i="52"/>
  <c r="C51" i="51" s="1"/>
  <c r="G17" i="52"/>
  <c r="H17" i="51" s="1"/>
  <c r="G19" i="36"/>
  <c r="J19" i="36" s="1"/>
  <c r="K19" i="36" s="1"/>
  <c r="J17" i="51" s="1"/>
  <c r="F17" i="52"/>
  <c r="G17" i="51" s="1"/>
  <c r="H17" i="52"/>
  <c r="I17" i="51" s="1"/>
  <c r="D17" i="52"/>
  <c r="D17" i="51" s="1"/>
  <c r="E17" i="52"/>
  <c r="F17" i="51" s="1"/>
  <c r="C17" i="52"/>
  <c r="C17" i="51" s="1"/>
  <c r="G52" i="52"/>
  <c r="H52" i="51" s="1"/>
  <c r="G54" i="36"/>
  <c r="F52" i="52"/>
  <c r="G52" i="51" s="1"/>
  <c r="E52" i="52"/>
  <c r="F52" i="51" s="1"/>
  <c r="H52" i="52"/>
  <c r="I52" i="51" s="1"/>
  <c r="D52" i="52"/>
  <c r="D52" i="51" s="1"/>
  <c r="C52" i="52"/>
  <c r="C52" i="51" s="1"/>
  <c r="G46" i="52"/>
  <c r="H46" i="51" s="1"/>
  <c r="G48" i="36"/>
  <c r="J48" i="36" s="1"/>
  <c r="K48" i="36" s="1"/>
  <c r="J46" i="51" s="1"/>
  <c r="D46" i="52"/>
  <c r="D46" i="51" s="1"/>
  <c r="E46" i="52"/>
  <c r="F46" i="51" s="1"/>
  <c r="F46" i="52"/>
  <c r="G46" i="51" s="1"/>
  <c r="H46" i="52"/>
  <c r="I46" i="51" s="1"/>
  <c r="C46" i="52"/>
  <c r="C46" i="51" s="1"/>
  <c r="G20" i="52"/>
  <c r="H20" i="51" s="1"/>
  <c r="G22" i="36"/>
  <c r="H20" i="52"/>
  <c r="I20" i="51" s="1"/>
  <c r="F20" i="52"/>
  <c r="G20" i="51" s="1"/>
  <c r="D20" i="52"/>
  <c r="D20" i="51" s="1"/>
  <c r="E20" i="52"/>
  <c r="F20" i="51" s="1"/>
  <c r="C20" i="52"/>
  <c r="C20" i="51" s="1"/>
  <c r="G13" i="52"/>
  <c r="H13" i="51" s="1"/>
  <c r="G15" i="36"/>
  <c r="J15" i="36" s="1"/>
  <c r="K15" i="36" s="1"/>
  <c r="J13" i="51" s="1"/>
  <c r="F13" i="52"/>
  <c r="G13" i="51" s="1"/>
  <c r="H13" i="52"/>
  <c r="I13" i="51" s="1"/>
  <c r="D13" i="52"/>
  <c r="D13" i="51" s="1"/>
  <c r="E13" i="52"/>
  <c r="F13" i="51" s="1"/>
  <c r="C13" i="52"/>
  <c r="C13" i="51" s="1"/>
  <c r="G10" i="52"/>
  <c r="H10" i="51" s="1"/>
  <c r="G12" i="36"/>
  <c r="J12" i="36" s="1"/>
  <c r="K12" i="36" s="1"/>
  <c r="J10" i="51" s="1"/>
  <c r="F10" i="52"/>
  <c r="G10" i="51" s="1"/>
  <c r="D10" i="52"/>
  <c r="D10" i="51" s="1"/>
  <c r="H10" i="52"/>
  <c r="I10" i="51" s="1"/>
  <c r="E10" i="52"/>
  <c r="F10" i="51" s="1"/>
  <c r="C10" i="52"/>
  <c r="C10" i="51" s="1"/>
  <c r="G26" i="52"/>
  <c r="H26" i="51" s="1"/>
  <c r="G28" i="36"/>
  <c r="J28" i="36" s="1"/>
  <c r="K28" i="36" s="1"/>
  <c r="J26" i="51" s="1"/>
  <c r="H26" i="52"/>
  <c r="I26" i="51" s="1"/>
  <c r="F26" i="52"/>
  <c r="G26" i="51" s="1"/>
  <c r="E26" i="52"/>
  <c r="F26" i="51" s="1"/>
  <c r="D26" i="52"/>
  <c r="D26" i="51" s="1"/>
  <c r="C26" i="52"/>
  <c r="C26" i="51" s="1"/>
  <c r="G38" i="52"/>
  <c r="H38" i="51" s="1"/>
  <c r="G40" i="36"/>
  <c r="J40" i="36" s="1"/>
  <c r="K40" i="36" s="1"/>
  <c r="J38" i="51" s="1"/>
  <c r="E38" i="52"/>
  <c r="F38" i="51" s="1"/>
  <c r="F38" i="52"/>
  <c r="G38" i="51" s="1"/>
  <c r="H38" i="52"/>
  <c r="I38" i="51" s="1"/>
  <c r="D38" i="52"/>
  <c r="D38" i="51" s="1"/>
  <c r="C38" i="52"/>
  <c r="C38" i="51" s="1"/>
  <c r="G34" i="52"/>
  <c r="H34" i="51" s="1"/>
  <c r="G36" i="36"/>
  <c r="J36" i="36" s="1"/>
  <c r="K36" i="36" s="1"/>
  <c r="J34" i="51" s="1"/>
  <c r="E34" i="52"/>
  <c r="F34" i="51" s="1"/>
  <c r="D34" i="52"/>
  <c r="D34" i="51" s="1"/>
  <c r="H34" i="52"/>
  <c r="I34" i="51" s="1"/>
  <c r="F34" i="52"/>
  <c r="G34" i="51" s="1"/>
  <c r="C34" i="52"/>
  <c r="C34" i="51" s="1"/>
  <c r="G36" i="52"/>
  <c r="H36" i="51" s="1"/>
  <c r="G38" i="36"/>
  <c r="J38" i="36" s="1"/>
  <c r="K38" i="36" s="1"/>
  <c r="J36" i="51" s="1"/>
  <c r="H36" i="52"/>
  <c r="I36" i="51" s="1"/>
  <c r="F36" i="52"/>
  <c r="G36" i="51" s="1"/>
  <c r="E36" i="52"/>
  <c r="F36" i="51" s="1"/>
  <c r="D36" i="52"/>
  <c r="D36" i="51" s="1"/>
  <c r="C36" i="52"/>
  <c r="C36" i="51" s="1"/>
  <c r="G8" i="52"/>
  <c r="H8" i="51" s="1"/>
  <c r="G10" i="36"/>
  <c r="J10" i="36" s="1"/>
  <c r="K10" i="36" s="1"/>
  <c r="J8" i="51" s="1"/>
  <c r="H8" i="52"/>
  <c r="I8" i="51" s="1"/>
  <c r="E8" i="52"/>
  <c r="F8" i="51" s="1"/>
  <c r="F8" i="52"/>
  <c r="G8" i="51" s="1"/>
  <c r="D8" i="52"/>
  <c r="D8" i="51" s="1"/>
  <c r="C8" i="52"/>
  <c r="C8" i="51" s="1"/>
  <c r="G11" i="52"/>
  <c r="H11" i="51" s="1"/>
  <c r="G13" i="36"/>
  <c r="J13" i="36" s="1"/>
  <c r="K13" i="36" s="1"/>
  <c r="J11" i="51" s="1"/>
  <c r="D11" i="52"/>
  <c r="D11" i="51" s="1"/>
  <c r="H11" i="52"/>
  <c r="I11" i="51" s="1"/>
  <c r="F11" i="52"/>
  <c r="G11" i="51" s="1"/>
  <c r="E11" i="52"/>
  <c r="F11" i="51" s="1"/>
  <c r="C11" i="52"/>
  <c r="C11" i="51" s="1"/>
  <c r="G29" i="52"/>
  <c r="H29" i="51" s="1"/>
  <c r="G31" i="36"/>
  <c r="J31" i="36" s="1"/>
  <c r="K31" i="36" s="1"/>
  <c r="J29" i="51" s="1"/>
  <c r="F29" i="52"/>
  <c r="G29" i="51" s="1"/>
  <c r="H29" i="52"/>
  <c r="I29" i="51" s="1"/>
  <c r="E29" i="52"/>
  <c r="F29" i="51" s="1"/>
  <c r="D29" i="52"/>
  <c r="D29" i="51" s="1"/>
  <c r="C29" i="52"/>
  <c r="C29" i="51" s="1"/>
  <c r="G48" i="52"/>
  <c r="H48" i="51" s="1"/>
  <c r="G50" i="36"/>
  <c r="J50" i="36" s="1"/>
  <c r="K50" i="36" s="1"/>
  <c r="J48" i="51" s="1"/>
  <c r="E48" i="52"/>
  <c r="F48" i="51" s="1"/>
  <c r="H48" i="52"/>
  <c r="I48" i="51" s="1"/>
  <c r="F48" i="52"/>
  <c r="G48" i="51" s="1"/>
  <c r="D48" i="52"/>
  <c r="D48" i="51" s="1"/>
  <c r="C48" i="52"/>
  <c r="C48" i="51" s="1"/>
  <c r="G31" i="52"/>
  <c r="H31" i="51" s="1"/>
  <c r="G33" i="36"/>
  <c r="J33" i="36" s="1"/>
  <c r="K33" i="36" s="1"/>
  <c r="J31" i="51" s="1"/>
  <c r="D31" i="52"/>
  <c r="D31" i="51" s="1"/>
  <c r="F31" i="52"/>
  <c r="G31" i="51" s="1"/>
  <c r="E31" i="52"/>
  <c r="F31" i="51" s="1"/>
  <c r="H31" i="52"/>
  <c r="I31" i="51" s="1"/>
  <c r="C31" i="52"/>
  <c r="C31" i="51" s="1"/>
  <c r="G32" i="52"/>
  <c r="H32" i="51" s="1"/>
  <c r="G34" i="36"/>
  <c r="E32" i="52"/>
  <c r="F32" i="51" s="1"/>
  <c r="D32" i="52"/>
  <c r="D32" i="51" s="1"/>
  <c r="F32" i="52"/>
  <c r="G32" i="51" s="1"/>
  <c r="H32" i="52"/>
  <c r="I32" i="51" s="1"/>
  <c r="C32" i="52"/>
  <c r="C32" i="51" s="1"/>
  <c r="G35" i="52"/>
  <c r="H35" i="51" s="1"/>
  <c r="G37" i="36"/>
  <c r="J37" i="36" s="1"/>
  <c r="K37" i="36" s="1"/>
  <c r="J35" i="51" s="1"/>
  <c r="F35" i="52"/>
  <c r="G35" i="51" s="1"/>
  <c r="D35" i="52"/>
  <c r="D35" i="51" s="1"/>
  <c r="E35" i="52"/>
  <c r="F35" i="51" s="1"/>
  <c r="H35" i="52"/>
  <c r="I35" i="51" s="1"/>
  <c r="C35" i="52"/>
  <c r="C35" i="51" s="1"/>
  <c r="G16" i="52"/>
  <c r="H16" i="51" s="1"/>
  <c r="G18" i="36"/>
  <c r="H16" i="52"/>
  <c r="I16" i="51" s="1"/>
  <c r="E16" i="52"/>
  <c r="F16" i="51" s="1"/>
  <c r="D16" i="52"/>
  <c r="D16" i="51" s="1"/>
  <c r="F16" i="52"/>
  <c r="G16" i="51" s="1"/>
  <c r="C16" i="52"/>
  <c r="C16" i="51" s="1"/>
  <c r="G50" i="52"/>
  <c r="H50" i="51" s="1"/>
  <c r="G52" i="36"/>
  <c r="J52" i="36" s="1"/>
  <c r="K52" i="36" s="1"/>
  <c r="J50" i="51" s="1"/>
  <c r="D50" i="52"/>
  <c r="D50" i="51" s="1"/>
  <c r="E50" i="52"/>
  <c r="F50" i="51" s="1"/>
  <c r="H50" i="52"/>
  <c r="I50" i="51" s="1"/>
  <c r="F50" i="52"/>
  <c r="G50" i="51" s="1"/>
  <c r="C50" i="52"/>
  <c r="C50" i="51" s="1"/>
  <c r="G23" i="52"/>
  <c r="H23" i="51" s="1"/>
  <c r="G25" i="36"/>
  <c r="H23" i="52"/>
  <c r="I23" i="51" s="1"/>
  <c r="E23" i="52"/>
  <c r="F23" i="51" s="1"/>
  <c r="D23" i="52"/>
  <c r="D23" i="51" s="1"/>
  <c r="F23" i="52"/>
  <c r="G23" i="51" s="1"/>
  <c r="C23" i="52"/>
  <c r="C23" i="51" s="1"/>
  <c r="G33" i="52"/>
  <c r="H33" i="51" s="1"/>
  <c r="G35" i="36"/>
  <c r="J35" i="36" s="1"/>
  <c r="K35" i="36" s="1"/>
  <c r="J33" i="51" s="1"/>
  <c r="H33" i="52"/>
  <c r="I33" i="51" s="1"/>
  <c r="F33" i="52"/>
  <c r="G33" i="51" s="1"/>
  <c r="D33" i="52"/>
  <c r="D33" i="51" s="1"/>
  <c r="E33" i="52"/>
  <c r="F33" i="51" s="1"/>
  <c r="C33" i="52"/>
  <c r="C33" i="51" s="1"/>
  <c r="G43" i="52"/>
  <c r="H43" i="51" s="1"/>
  <c r="G45" i="36"/>
  <c r="J45" i="36" s="1"/>
  <c r="K45" i="36" s="1"/>
  <c r="J43" i="51" s="1"/>
  <c r="H43" i="52"/>
  <c r="I43" i="51" s="1"/>
  <c r="E43" i="52"/>
  <c r="F43" i="51" s="1"/>
  <c r="F43" i="52"/>
  <c r="G43" i="51" s="1"/>
  <c r="D43" i="52"/>
  <c r="D43" i="51" s="1"/>
  <c r="C43" i="52"/>
  <c r="C43" i="51" s="1"/>
  <c r="G39" i="52"/>
  <c r="H39" i="51" s="1"/>
  <c r="G41" i="36"/>
  <c r="J41" i="36" s="1"/>
  <c r="K41" i="36" s="1"/>
  <c r="J39" i="51" s="1"/>
  <c r="F39" i="52"/>
  <c r="G39" i="51" s="1"/>
  <c r="D39" i="52"/>
  <c r="D39" i="51" s="1"/>
  <c r="H39" i="52"/>
  <c r="I39" i="51" s="1"/>
  <c r="E39" i="52"/>
  <c r="F39" i="51" s="1"/>
  <c r="C39" i="52"/>
  <c r="C39" i="51" s="1"/>
  <c r="G28" i="52"/>
  <c r="H28" i="51" s="1"/>
  <c r="G30" i="36"/>
  <c r="J30" i="36" s="1"/>
  <c r="K30" i="36" s="1"/>
  <c r="J28" i="51" s="1"/>
  <c r="D28" i="52"/>
  <c r="D28" i="51" s="1"/>
  <c r="E28" i="52"/>
  <c r="F28" i="51" s="1"/>
  <c r="H28" i="52"/>
  <c r="I28" i="51" s="1"/>
  <c r="F28" i="52"/>
  <c r="G28" i="51" s="1"/>
  <c r="C28" i="52"/>
  <c r="C28" i="51" s="1"/>
  <c r="G30" i="52"/>
  <c r="H30" i="51" s="1"/>
  <c r="G32" i="36"/>
  <c r="J32" i="36" s="1"/>
  <c r="K32" i="36" s="1"/>
  <c r="J30" i="51" s="1"/>
  <c r="D30" i="52"/>
  <c r="D30" i="51" s="1"/>
  <c r="E30" i="52"/>
  <c r="F30" i="51" s="1"/>
  <c r="F30" i="52"/>
  <c r="G30" i="51" s="1"/>
  <c r="H30" i="52"/>
  <c r="I30" i="51" s="1"/>
  <c r="C30" i="52"/>
  <c r="C30" i="51" s="1"/>
  <c r="G9" i="52"/>
  <c r="H9" i="51" s="1"/>
  <c r="G11" i="36"/>
  <c r="J11" i="36" s="1"/>
  <c r="K11" i="36" s="1"/>
  <c r="J9" i="51" s="1"/>
  <c r="F9" i="52"/>
  <c r="G9" i="51" s="1"/>
  <c r="E9" i="52"/>
  <c r="F9" i="51" s="1"/>
  <c r="H9" i="52"/>
  <c r="I9" i="51" s="1"/>
  <c r="D9" i="52"/>
  <c r="D9" i="51" s="1"/>
  <c r="C9" i="52"/>
  <c r="C9" i="51" s="1"/>
  <c r="G25" i="52"/>
  <c r="H25" i="51" s="1"/>
  <c r="G27" i="36"/>
  <c r="J27" i="36" s="1"/>
  <c r="K27" i="36" s="1"/>
  <c r="J25" i="51" s="1"/>
  <c r="H25" i="52"/>
  <c r="I25" i="51" s="1"/>
  <c r="D25" i="52"/>
  <c r="D25" i="51" s="1"/>
  <c r="F25" i="52"/>
  <c r="G25" i="51" s="1"/>
  <c r="E25" i="52"/>
  <c r="F25" i="51" s="1"/>
  <c r="C25" i="52"/>
  <c r="C25" i="51" s="1"/>
  <c r="G12" i="52"/>
  <c r="H12" i="51" s="1"/>
  <c r="G14" i="36"/>
  <c r="J14" i="36" s="1"/>
  <c r="K14" i="36" s="1"/>
  <c r="J12" i="51" s="1"/>
  <c r="E12" i="52"/>
  <c r="F12" i="51" s="1"/>
  <c r="D12" i="52"/>
  <c r="D12" i="51" s="1"/>
  <c r="H12" i="52"/>
  <c r="I12" i="51" s="1"/>
  <c r="F12" i="52"/>
  <c r="G12" i="51" s="1"/>
  <c r="C12" i="52"/>
  <c r="C12" i="51" s="1"/>
  <c r="G22" i="52"/>
  <c r="H22" i="51" s="1"/>
  <c r="G24" i="36"/>
  <c r="J24" i="36" s="1"/>
  <c r="K24" i="36" s="1"/>
  <c r="J22" i="51" s="1"/>
  <c r="D22" i="52"/>
  <c r="D22" i="51" s="1"/>
  <c r="E22" i="52"/>
  <c r="F22" i="51" s="1"/>
  <c r="H22" i="52"/>
  <c r="I22" i="51" s="1"/>
  <c r="F22" i="52"/>
  <c r="G22" i="51" s="1"/>
  <c r="C22" i="52"/>
  <c r="C22" i="51" s="1"/>
  <c r="G7" i="52"/>
  <c r="H7" i="51" s="1"/>
  <c r="G9" i="36"/>
  <c r="J9" i="36" s="1"/>
  <c r="K9" i="36" s="1"/>
  <c r="J7" i="51" s="1"/>
  <c r="E7" i="52"/>
  <c r="F7" i="51" s="1"/>
  <c r="F7" i="52"/>
  <c r="G7" i="51" s="1"/>
  <c r="H7" i="52"/>
  <c r="I7" i="51" s="1"/>
  <c r="D7" i="52"/>
  <c r="D7" i="51" s="1"/>
  <c r="C7" i="52"/>
  <c r="C7" i="51" s="1"/>
  <c r="G41" i="52"/>
  <c r="H41" i="51" s="1"/>
  <c r="G43" i="36"/>
  <c r="J43" i="36" s="1"/>
  <c r="K43" i="36" s="1"/>
  <c r="J41" i="51" s="1"/>
  <c r="E41" i="52"/>
  <c r="F41" i="51" s="1"/>
  <c r="F41" i="52"/>
  <c r="G41" i="51" s="1"/>
  <c r="H41" i="52"/>
  <c r="I41" i="51" s="1"/>
  <c r="D41" i="52"/>
  <c r="D41" i="51" s="1"/>
  <c r="C41" i="52"/>
  <c r="C41" i="51" s="1"/>
  <c r="G55" i="52"/>
  <c r="H55" i="51" s="1"/>
  <c r="G57" i="36"/>
  <c r="J57" i="36" s="1"/>
  <c r="K57" i="36" s="1"/>
  <c r="J55" i="51" s="1"/>
  <c r="H55" i="52"/>
  <c r="I55" i="51" s="1"/>
  <c r="D55" i="52"/>
  <c r="D55" i="51" s="1"/>
  <c r="F55" i="52"/>
  <c r="G55" i="51" s="1"/>
  <c r="E55" i="52"/>
  <c r="F55" i="51" s="1"/>
  <c r="C55" i="52"/>
  <c r="C55" i="51" s="1"/>
  <c r="G19" i="52"/>
  <c r="H19" i="51" s="1"/>
  <c r="G21" i="36"/>
  <c r="J21" i="36" s="1"/>
  <c r="K21" i="36" s="1"/>
  <c r="J19" i="51" s="1"/>
  <c r="D19" i="52"/>
  <c r="D19" i="51" s="1"/>
  <c r="H19" i="52"/>
  <c r="I19" i="51" s="1"/>
  <c r="F19" i="52"/>
  <c r="G19" i="51" s="1"/>
  <c r="E19" i="52"/>
  <c r="F19" i="51" s="1"/>
  <c r="C19" i="52"/>
  <c r="C19" i="51" s="1"/>
  <c r="G27" i="52"/>
  <c r="H27" i="51" s="1"/>
  <c r="G29" i="36"/>
  <c r="D27" i="52"/>
  <c r="D27" i="51" s="1"/>
  <c r="E27" i="52"/>
  <c r="F27" i="51" s="1"/>
  <c r="F27" i="52"/>
  <c r="G27" i="51" s="1"/>
  <c r="H27" i="52"/>
  <c r="I27" i="51" s="1"/>
  <c r="C27" i="52"/>
  <c r="C27" i="51" s="1"/>
  <c r="G40" i="52"/>
  <c r="H40" i="51" s="1"/>
  <c r="G42" i="36"/>
  <c r="J42" i="36" s="1"/>
  <c r="K42" i="36" s="1"/>
  <c r="J40" i="51" s="1"/>
  <c r="E40" i="52"/>
  <c r="F40" i="51" s="1"/>
  <c r="F40" i="52"/>
  <c r="G40" i="51" s="1"/>
  <c r="H40" i="52"/>
  <c r="I40" i="51" s="1"/>
  <c r="D40" i="52"/>
  <c r="D40" i="51" s="1"/>
  <c r="C40" i="52"/>
  <c r="C40" i="51" s="1"/>
  <c r="G24" i="52"/>
  <c r="H24" i="51" s="1"/>
  <c r="G26" i="36"/>
  <c r="D24" i="52"/>
  <c r="D24" i="51" s="1"/>
  <c r="H24" i="52"/>
  <c r="I24" i="51" s="1"/>
  <c r="E24" i="52"/>
  <c r="F24" i="51" s="1"/>
  <c r="F24" i="52"/>
  <c r="G24" i="51" s="1"/>
  <c r="C24" i="52"/>
  <c r="C24" i="51" s="1"/>
  <c r="G37" i="52"/>
  <c r="H37" i="51" s="1"/>
  <c r="G39" i="36"/>
  <c r="J39" i="36" s="1"/>
  <c r="K39" i="36" s="1"/>
  <c r="J37" i="51" s="1"/>
  <c r="F37" i="52"/>
  <c r="G37" i="51" s="1"/>
  <c r="D37" i="52"/>
  <c r="D37" i="51" s="1"/>
  <c r="H37" i="52"/>
  <c r="I37" i="51" s="1"/>
  <c r="E37" i="52"/>
  <c r="F37" i="51" s="1"/>
  <c r="C37" i="52"/>
  <c r="C37" i="51" s="1"/>
  <c r="G7" i="36"/>
  <c r="J7" i="36" s="1"/>
  <c r="H5" i="52"/>
  <c r="I5" i="51" s="1"/>
  <c r="E5" i="52"/>
  <c r="F5" i="51" s="1"/>
  <c r="F5" i="52"/>
  <c r="G5" i="51" s="1"/>
  <c r="D5" i="52"/>
  <c r="D5" i="51" s="1"/>
  <c r="C5" i="52"/>
  <c r="C5" i="51" s="1"/>
  <c r="G5" i="52"/>
  <c r="H5" i="51" s="1"/>
  <c r="J29" i="36"/>
  <c r="K29" i="36" s="1"/>
  <c r="J27" i="51" s="1"/>
  <c r="J17" i="36"/>
  <c r="K17" i="36" s="1"/>
  <c r="J15" i="51" s="1"/>
  <c r="J53" i="36"/>
  <c r="K53" i="36" s="1"/>
  <c r="J51" i="51" s="1"/>
  <c r="J34" i="36"/>
  <c r="K34" i="36" s="1"/>
  <c r="J32" i="51" s="1"/>
  <c r="J25" i="36"/>
  <c r="K25" i="36" s="1"/>
  <c r="J23" i="51" s="1"/>
  <c r="J26" i="36"/>
  <c r="K26" i="36" s="1"/>
  <c r="J24" i="51" s="1"/>
  <c r="J54" i="36"/>
  <c r="K54" i="36" s="1"/>
  <c r="J52" i="51" s="1"/>
  <c r="J51" i="36"/>
  <c r="K51" i="36" s="1"/>
  <c r="J49" i="51" s="1"/>
  <c r="J49" i="36"/>
  <c r="K49" i="36" s="1"/>
  <c r="J47" i="51" s="1"/>
  <c r="J18" i="36"/>
  <c r="K18" i="36" s="1"/>
  <c r="J16" i="51" s="1"/>
  <c r="J22" i="36"/>
  <c r="K22" i="36" s="1"/>
  <c r="J20" i="51" s="1"/>
  <c r="AD56" i="1"/>
  <c r="G56" i="51" l="1"/>
  <c r="D56" i="51"/>
  <c r="C56" i="51"/>
  <c r="I56" i="51"/>
  <c r="H56" i="51"/>
  <c r="F56" i="51"/>
  <c r="G56" i="52"/>
  <c r="C56" i="52"/>
  <c r="E56" i="52"/>
  <c r="H56" i="52"/>
  <c r="D56" i="52"/>
  <c r="F56" i="52"/>
  <c r="G58" i="36"/>
  <c r="J58" i="36"/>
  <c r="K7" i="36"/>
  <c r="J5" i="51" l="1"/>
  <c r="K58" i="36"/>
  <c r="L56" i="51" l="1"/>
  <c r="J56" i="51"/>
  <c r="L25" i="36"/>
  <c r="L35" i="36"/>
  <c r="L46" i="36"/>
  <c r="L23" i="36"/>
  <c r="L13" i="36"/>
  <c r="L31" i="36"/>
  <c r="L40" i="36"/>
  <c r="L21" i="36"/>
  <c r="L16" i="36"/>
  <c r="L24" i="36"/>
  <c r="L50" i="36"/>
  <c r="L47" i="36"/>
  <c r="L41" i="36"/>
  <c r="L44" i="36"/>
  <c r="L53" i="36"/>
  <c r="L34" i="36"/>
  <c r="L19" i="36"/>
  <c r="L10" i="36"/>
  <c r="L51" i="36"/>
  <c r="L32" i="36"/>
  <c r="L27" i="36"/>
  <c r="L26" i="36"/>
  <c r="L18" i="36"/>
  <c r="L42" i="36"/>
  <c r="L15" i="36"/>
  <c r="L11" i="36"/>
  <c r="L56" i="36"/>
  <c r="L39" i="36"/>
  <c r="L38" i="36"/>
  <c r="L29" i="36"/>
  <c r="L43" i="36"/>
  <c r="L45" i="36"/>
  <c r="L36" i="36"/>
  <c r="L8" i="36"/>
  <c r="L55" i="36"/>
  <c r="L57" i="36"/>
  <c r="L37" i="36"/>
  <c r="L22" i="36"/>
  <c r="L33" i="36"/>
  <c r="L17" i="36"/>
  <c r="L20" i="36"/>
  <c r="L49" i="36"/>
  <c r="L48" i="36"/>
  <c r="L54" i="36"/>
  <c r="L28" i="36"/>
  <c r="L9" i="36"/>
  <c r="L14" i="36"/>
  <c r="L30" i="36"/>
  <c r="L12" i="36"/>
  <c r="L52" i="36"/>
  <c r="L7" i="36"/>
  <c r="L58" i="36" l="1"/>
</calcChain>
</file>

<file path=xl/comments1.xml><?xml version="1.0" encoding="utf-8"?>
<comments xmlns="http://schemas.openxmlformats.org/spreadsheetml/2006/main">
  <authors>
    <author>Cesar Gabriel Rivera Cantu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Variable actualizada el 15 de febrero de 2024
Información definitiva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Variable actualizada el 30 de abril de 2024
Información entregada por cada municipio y validada por la ASENL</t>
        </r>
      </text>
    </comment>
  </commentList>
</comments>
</file>

<file path=xl/comments2.xml><?xml version="1.0" encoding="utf-8"?>
<comments xmlns="http://schemas.openxmlformats.org/spreadsheetml/2006/main">
  <authors>
    <author>Cesar Gabriel Rivera Cantu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Actualización el 1 de julio de 2023
publicación de conapo del 21 de junio de 2024</t>
        </r>
      </text>
    </comment>
  </commentList>
</comments>
</file>

<file path=xl/comments3.xml><?xml version="1.0" encoding="utf-8"?>
<comments xmlns="http://schemas.openxmlformats.org/spreadsheetml/2006/main">
  <authors>
    <author>Cesar Gabriel Rivera Cantu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Variable actualizada el 15 de febrero de 2024
Información definitiva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Variable actualizada el 30 de abril de 2024
Información entregada por cada municipio y validada por la ASENL</t>
        </r>
      </text>
    </comment>
  </commentList>
</comments>
</file>

<file path=xl/sharedStrings.xml><?xml version="1.0" encoding="utf-8"?>
<sst xmlns="http://schemas.openxmlformats.org/spreadsheetml/2006/main" count="546" uniqueCount="208">
  <si>
    <t>MUNICIPIO</t>
  </si>
  <si>
    <t>ABASOLO</t>
  </si>
  <si>
    <t>AGUALEGUAS</t>
  </si>
  <si>
    <t>ALLENDE</t>
  </si>
  <si>
    <t>APODACA</t>
  </si>
  <si>
    <t>ARAMBERRI</t>
  </si>
  <si>
    <t>BUSTAMANTE</t>
  </si>
  <si>
    <t>CHINA</t>
  </si>
  <si>
    <t>DOCTOR ARROYO</t>
  </si>
  <si>
    <t>DOCTOR COSS</t>
  </si>
  <si>
    <t>GALEANA</t>
  </si>
  <si>
    <t>GENERAL BRAVO</t>
  </si>
  <si>
    <t>GENERAL ESCOBEDO</t>
  </si>
  <si>
    <t>GENERAL TREVIÑO</t>
  </si>
  <si>
    <t>GENERAL ZARAGOZA</t>
  </si>
  <si>
    <t>GENERAL ZUAZUA</t>
  </si>
  <si>
    <t>GUADALUPE</t>
  </si>
  <si>
    <t>HIDALGO</t>
  </si>
  <si>
    <t>HIGUERAS</t>
  </si>
  <si>
    <t>HUALAHUISES</t>
  </si>
  <si>
    <t>ITURBIDE</t>
  </si>
  <si>
    <t>LAMPAZOS DE NARANJO</t>
  </si>
  <si>
    <t>LINARES</t>
  </si>
  <si>
    <t>MELCHOR OCAMPO</t>
  </si>
  <si>
    <t>MIER Y NORIEGA</t>
  </si>
  <si>
    <t>MINA</t>
  </si>
  <si>
    <t>MONTEMORELOS</t>
  </si>
  <si>
    <t>MONTERREY</t>
  </si>
  <si>
    <t>RAYONES</t>
  </si>
  <si>
    <t>SABINAS HIDALGO</t>
  </si>
  <si>
    <t>SALINAS VICTORIA</t>
  </si>
  <si>
    <t>SANTA CATARINA</t>
  </si>
  <si>
    <t>SANTIAGO</t>
  </si>
  <si>
    <t>VALLECILLO</t>
  </si>
  <si>
    <t>VILLALDAMA</t>
  </si>
  <si>
    <t xml:space="preserve">        TOTAL</t>
  </si>
  <si>
    <t>TOTAL</t>
  </si>
  <si>
    <t>P=RP/BG</t>
  </si>
  <si>
    <t>ER=P*RP</t>
  </si>
  <si>
    <t>PC</t>
  </si>
  <si>
    <t>PO</t>
  </si>
  <si>
    <t>TERRITORIO (KM2)</t>
  </si>
  <si>
    <t>TE</t>
  </si>
  <si>
    <t>POBLACIÓN Y TERRITORIO</t>
  </si>
  <si>
    <t>CEPT=0.85(PO/∑PO)+0.15(TE/∑TE)</t>
  </si>
  <si>
    <t>PC*35%</t>
  </si>
  <si>
    <t>CEP= MAE1/∑MAE1</t>
  </si>
  <si>
    <t>CEG=MAE2/∑MAE2</t>
  </si>
  <si>
    <t>CIMP*25%</t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</si>
  <si>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</si>
  <si>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PC/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PC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</si>
  <si>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</si>
  <si>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</si>
  <si>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</si>
  <si>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</si>
  <si>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t xml:space="preserve">FUENTE: </t>
  </si>
  <si>
    <t>ESTRUCTURA      %</t>
  </si>
  <si>
    <t>ESTRUCTURA     %</t>
  </si>
  <si>
    <t>COEFICIENTE  POBLACIÓN Y TERRITORIO</t>
  </si>
  <si>
    <t>COEFICIENTE  ÍNDICE MUNICIPAL DE POBREZA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</si>
  <si>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</si>
  <si>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</si>
  <si>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</si>
  <si>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</si>
  <si>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</si>
  <si>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</si>
  <si>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</si>
  <si>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DISTRIBUCIÓN POR PROYECCIÓN DE POBLACIÓN</t>
  </si>
  <si>
    <t>DISTRIBUCIÓN POR COEFICIENTE REGLA I</t>
  </si>
  <si>
    <t>ÍNDICE MUNICIPAL DE POBREZA</t>
  </si>
  <si>
    <t>DISTRIBUCIÓN POR POBLACIÓN Y TERRITORIO</t>
  </si>
  <si>
    <t>DISTRIBUCIÓN POR ÍNDICE DE POBREZA</t>
  </si>
  <si>
    <t>DISTRIBUCIÓN POR EFECTIVIDAD RECAUDACIÓN  PREDIAL</t>
  </si>
  <si>
    <t xml:space="preserve">POBLACIÓN </t>
  </si>
  <si>
    <t>REGLA I</t>
  </si>
  <si>
    <t>PROYECCIÓN DE POBLACIÓN</t>
  </si>
  <si>
    <t>MAE2=(PI*35%)+(PC*35%)+(CD*30%)</t>
  </si>
  <si>
    <t>FGP</t>
  </si>
  <si>
    <t>IEPS</t>
  </si>
  <si>
    <t>EFECTIVIDAD RECAUDACIÓN DE PREDIAL</t>
  </si>
  <si>
    <t>CER*50%</t>
  </si>
  <si>
    <t>CEPT*25%</t>
  </si>
  <si>
    <t>MAE1=(CEPT*25%)+(CIMP*25%)+(CER*50%)</t>
  </si>
  <si>
    <t>Fondo del Estado</t>
  </si>
  <si>
    <t>Porcentaje de distribución</t>
  </si>
  <si>
    <t>Fondo General de Participaciones (FGP)</t>
  </si>
  <si>
    <t>Impuesto Especial sobre Producción y Servicios (IEPS)</t>
  </si>
  <si>
    <t>FOFIR</t>
  </si>
  <si>
    <t>PROPORCION DE RECAUDACIÓN</t>
  </si>
  <si>
    <t>RECAUDACIÓN PONDERADO POR EFICIENCIA</t>
  </si>
  <si>
    <t>COEFICIENTE DE DISTRIBUCIÓN ANTES DE GARANTÍA</t>
  </si>
  <si>
    <t>Impuesto sobre la Venta Final de Gasolinas y Diesel (IEPSGD)</t>
  </si>
  <si>
    <t>Fondo de Fiscalización y Recaudación (FOFIR)</t>
  </si>
  <si>
    <t>Monto a distribuir</t>
  </si>
  <si>
    <t>DETERMINACIÓN PRELIMINAR DE LOS COEFICIENTES DE PARTICIPACIÓN DE RECURSOS A MUNICIPIOS POR VARIABLE (ARTÍCULO14 FRACC II LCH)</t>
  </si>
  <si>
    <t>Fondo de Compensacion ISAN</t>
  </si>
  <si>
    <t xml:space="preserve">Impuesto sobre Adquisición de Vehículos Nuevos (ISAN) </t>
  </si>
  <si>
    <t>ISAN</t>
  </si>
  <si>
    <t>COMP ISAN</t>
  </si>
  <si>
    <t>Fondo de Fomento Municipal (FFM) 30%</t>
  </si>
  <si>
    <t>Fondo de Fomento Municipal (FFM) 70%</t>
  </si>
  <si>
    <t>50%*CERi,t+20%*REi,t+30%*CCRi,t</t>
  </si>
  <si>
    <t>REi,t = Ri,t-1 /∑Ri,t-1</t>
  </si>
  <si>
    <t>CCRi,t=CRi,t /∑CRi,t</t>
  </si>
  <si>
    <t>CRi,t=(Ri,t-1/Ri,t-2)- 1</t>
  </si>
  <si>
    <t>Ri,t-2</t>
  </si>
  <si>
    <t>CERi,t = ERi,t-1 /∑ERi,t-1</t>
  </si>
  <si>
    <t>ERt-1 = Ri,t-1 / BGi,t-1</t>
  </si>
  <si>
    <t>Ri,t-1</t>
  </si>
  <si>
    <t>BGt-1</t>
  </si>
  <si>
    <t>DISTRIBUCIÓN POR RECAUDACION</t>
  </si>
  <si>
    <t>Tasa&gt;0</t>
  </si>
  <si>
    <t>Eficiencia Recaudatoria</t>
  </si>
  <si>
    <t>CRECIMIENTO RECAUDACION</t>
  </si>
  <si>
    <t xml:space="preserve"> EFICIENCIA RECAUDATORIA</t>
  </si>
  <si>
    <t>BGt-2</t>
  </si>
  <si>
    <t>RPt-1</t>
  </si>
  <si>
    <t>CADEREYTA JIMÉNEZ</t>
  </si>
  <si>
    <t>EL CARMEN</t>
  </si>
  <si>
    <t>CERRALVO</t>
  </si>
  <si>
    <t>CIÉNEGA DE FLORES</t>
  </si>
  <si>
    <t>DOCTOR GONZÁLEZ</t>
  </si>
  <si>
    <t>GARCÍA</t>
  </si>
  <si>
    <t>GENERAL TERÁN</t>
  </si>
  <si>
    <t>LOS HERRERAS</t>
  </si>
  <si>
    <t>JUÁREZ</t>
  </si>
  <si>
    <t>MARÍN</t>
  </si>
  <si>
    <t>PARÁS</t>
  </si>
  <si>
    <t>PESQUERÍA</t>
  </si>
  <si>
    <t>LOS RAMONES</t>
  </si>
  <si>
    <t>SAN NICOLÁS DE LOS GARZA</t>
  </si>
  <si>
    <t>SAN PEDRO GARZA GARCÍA</t>
  </si>
  <si>
    <t>LOS ALDAMAS</t>
  </si>
  <si>
    <t>ANÁHUAC</t>
  </si>
  <si>
    <t>FFM 70%</t>
  </si>
  <si>
    <t>POBLACIÓN 2020</t>
  </si>
  <si>
    <t>POBLACIÓN  2020</t>
  </si>
  <si>
    <t xml:space="preserve">  Población 2020, Censo de Población y Vivienda, INEGI</t>
  </si>
  <si>
    <t>Total</t>
  </si>
  <si>
    <t>Nombre del Municipio</t>
  </si>
  <si>
    <t>Fondo General de Participaciones</t>
  </si>
  <si>
    <t>Fondo de Fomento Municipal
70%</t>
  </si>
  <si>
    <t>Fondo de Fomento Municipal
30%</t>
  </si>
  <si>
    <t>Impuesto Especial Sobre Producción y Servicios</t>
  </si>
  <si>
    <t>Fondo de Fiscalización y Recaudación</t>
  </si>
  <si>
    <t>Impuesto Sobre Adquisición de Vehículos Nuevos</t>
  </si>
  <si>
    <t>Fondo Compensación ISAN</t>
  </si>
  <si>
    <t>Intensidad de la Pobreza</t>
  </si>
  <si>
    <t>Proporcion de Intensidad de la Pobreza</t>
  </si>
  <si>
    <t>Mejora en Pobreza Municipal</t>
  </si>
  <si>
    <t>Proporción de la eficacia en Pobreza</t>
  </si>
  <si>
    <t>PP2M</t>
  </si>
  <si>
    <t>PP1M</t>
  </si>
  <si>
    <t>CPP1M</t>
  </si>
  <si>
    <t>ICPM=(PP1M/∑PP1M)</t>
  </si>
  <si>
    <t>IP=(ICPM*CPP!M)</t>
  </si>
  <si>
    <t>IP/∑IP</t>
  </si>
  <si>
    <t>(0.85*CIMP)*(IP)</t>
  </si>
  <si>
    <t>M=PP2M/PP1M</t>
  </si>
  <si>
    <t>EP/∑EP</t>
  </si>
  <si>
    <t>(0.15*CIMP)*(EP/∑EP)</t>
  </si>
  <si>
    <t>CDIPM</t>
  </si>
  <si>
    <t>Monto Distribuido 2021</t>
  </si>
  <si>
    <t>Diferencia</t>
  </si>
  <si>
    <t>FONDO DE ISR POR LA ENAJENACIÓN DE BIENES INMUEBLES</t>
  </si>
  <si>
    <t xml:space="preserve"> MUNICIPIO </t>
  </si>
  <si>
    <t>COEFICIENTE</t>
  </si>
  <si>
    <t>DISTRIBUCIÓN</t>
  </si>
  <si>
    <t xml:space="preserve">         TOTAL </t>
  </si>
  <si>
    <t>SUBTOTAL</t>
  </si>
  <si>
    <t>Impuesto sobre la Renta de Enajenación de Bienes Inmuebles (ISR BI)</t>
  </si>
  <si>
    <t>PERSONAS EN POBREZA 2015</t>
  </si>
  <si>
    <t>PERSONAS EN POBREZA 2020</t>
  </si>
  <si>
    <t>SUBSECRETARÍA DE POLITICA DE INGRESOS, COORDINACIÓN DE PLANEACIÓN HACENDARIA</t>
  </si>
  <si>
    <t>Incidencia de la Pobreza 2020</t>
  </si>
  <si>
    <t>Carencias promedio en situación de pobreza 2020</t>
  </si>
  <si>
    <t>Distribución Anual 2021</t>
  </si>
  <si>
    <t>COEFICIENTE BASE 2021</t>
  </si>
  <si>
    <t>PARTICIPACIONES AÑO ANTERIOR
FGP, FFM 70%, FOFIR, IEPS, ISAN</t>
  </si>
  <si>
    <t>PARTICIPACIONES A MUNICIPIOS 2021</t>
  </si>
  <si>
    <t>FACTURACIÓN  2022
(2018-2022)</t>
  </si>
  <si>
    <t>FACTURACIÓN 2023
(2019-2023)</t>
  </si>
  <si>
    <t>RECAUDACIÓN 2023</t>
  </si>
  <si>
    <t>ISAI 2023</t>
  </si>
  <si>
    <t>RECAUDACIÓN 2022</t>
  </si>
  <si>
    <t>COEFICIENTE DE PARTICIPACIÓN ART 14 F I</t>
  </si>
  <si>
    <t>MONTO DE DISTRIBUCIÓN</t>
  </si>
  <si>
    <t>RECAUDACIÓN</t>
  </si>
  <si>
    <t>Participaciones Estimadas 2025</t>
  </si>
  <si>
    <t>CÁLCULO DE DISTRIBUCIÓN DE PARTICIPACIONES ESTIMADAS 2025</t>
  </si>
  <si>
    <t>Distribución 2021</t>
  </si>
  <si>
    <t>Cálculo de Distribución 2025</t>
  </si>
  <si>
    <t>ESTIMACIÓN 2025</t>
  </si>
  <si>
    <t>PROYECCIÓN DE POBLACIÓN 2024</t>
  </si>
  <si>
    <t>CÁLCULO DE PARTICIPACIONES DEL COPETE A MUNICIPIOS 2025</t>
  </si>
  <si>
    <t>ISR Enajenación de Bienes Inmuebles</t>
  </si>
  <si>
    <t>IEPS venta final de Gasolinas y Diésel</t>
  </si>
  <si>
    <t xml:space="preserve">85% por Pobreza </t>
  </si>
  <si>
    <t xml:space="preserve">15% por eficacia de Pobreza </t>
  </si>
  <si>
    <t>COEFICIENTE  POR MONTO DE RECAUDACIÓN</t>
  </si>
  <si>
    <t>COEFICIENTE  DE EFICIENCIA</t>
  </si>
  <si>
    <t>TASA DE CRECIMIENTO</t>
  </si>
  <si>
    <t>COEFICIENTE CRECIMIENTO</t>
  </si>
  <si>
    <t>DISTRIBUCIÓN POR EFICIENCIA</t>
  </si>
  <si>
    <t>DISTRIBUCIÓN CRECIMIENTO</t>
  </si>
  <si>
    <t>FUENTE:
Facturación de Predial.- Instituto Registral y Catastral
Recaudación de Predial.- Municipios del Estado
Población.- Censo de Población y Vivienda 2020
Territorio.- INEGI
Vairables de Perzonas en Pobreza y Carencias 2015 Y 2020.- CONEVAL</t>
  </si>
  <si>
    <t>MONTO ESTIMADO</t>
  </si>
  <si>
    <t xml:space="preserve">  Reconstrución de Proyecciones de la Población 1990-2040, CONSEJO NACIONAL DE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</si>
</sst>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\ &quot;$&quot;;[Red]\-#,##0\ &quot;$&quot;"/>
    <numFmt numFmtId="167" formatCode="&quot;$&quot;\ #,##0.00"/>
    <numFmt numFmtId="168" formatCode="\U\ #,##0.00"/>
    <numFmt numFmtId="169" formatCode="_(* #,##0.000000_);_(* \(#,##0.000000\);_(* &quot;-&quot;??_);_(@_)"/>
    <numFmt numFmtId="170" formatCode="0.00000000%"/>
    <numFmt numFmtId="171" formatCode="0.000000"/>
    <numFmt numFmtId="172" formatCode="0.000000000"/>
    <numFmt numFmtId="173" formatCode="#,##0.0000;\-#,##0.0000"/>
    <numFmt numFmtId="174" formatCode="#,##0.00000000000;\-#,##0.00000000000"/>
    <numFmt numFmtId="175" formatCode="0.0000%"/>
    <numFmt numFmtId="176" formatCode="General_)"/>
    <numFmt numFmtId="177" formatCode="_-[$€-2]* #,##0.00_-;\-[$€-2]* #,##0.00_-;_-[$€-2]* &quot;-&quot;??_-"/>
    <numFmt numFmtId="178" formatCode="_-* #,##0_-;\-* #,##0_-;_-* &quot;-&quot;??_-;_-@_-"/>
    <numFmt numFmtId="179" formatCode="#,##0_ ;[Red]\-#,##0\ "/>
    <numFmt numFmtId="180" formatCode="0.00000000000"/>
    <numFmt numFmtId="181" formatCode="#,##0.00_ ;[Red]\-#,##0.00\ "/>
    <numFmt numFmtId="182" formatCode="_-* #,##0.000000_-;\-* #,##0.000000_-;_-* &quot;-&quot;??_-;_-@_-"/>
    <numFmt numFmtId="183" formatCode="_-* #,##0.00000_-;\-* #,##0.00000_-;_-* &quot;-&quot;??_-;_-@_-"/>
    <numFmt numFmtId="184" formatCode="#,##0.0000000;\-#,##0.0000000"/>
    <numFmt numFmtId="185" formatCode="#,##0.00000000;\-#,##0.00000000"/>
    <numFmt numFmtId="186" formatCode="#,##0.0_ ;[Red]\-#,##0.0\ "/>
    <numFmt numFmtId="187" formatCode="#,##0.000000;\-#,##0.000000"/>
    <numFmt numFmtId="188" formatCode="#,##0.000000_ ;[Red]\-#,##0.000000\ "/>
    <numFmt numFmtId="189" formatCode="_-* #,##0.000000_-;\-* #,##0.000000_-;_-* &quot;-&quot;????_-;_-@_-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9"/>
      <name val="Arial"/>
      <family val="2"/>
    </font>
    <font>
      <b/>
      <sz val="8"/>
      <name val="Arial"/>
      <family val="2"/>
    </font>
    <font>
      <sz val="11"/>
      <color theme="1"/>
      <name val="Soberana Sans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rgb="FF000000"/>
      <name val="Arial"/>
      <family val="2"/>
    </font>
    <font>
      <b/>
      <sz val="10"/>
      <color rgb="FF006100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166" fontId="13" fillId="0" borderId="0" applyFont="0" applyFill="0" applyBorder="0" applyAlignment="0" applyProtection="0"/>
    <xf numFmtId="0" fontId="26" fillId="3" borderId="0" applyNumberFormat="0" applyBorder="0" applyAlignment="0" applyProtection="0"/>
    <xf numFmtId="164" fontId="13" fillId="0" borderId="0" applyFont="0" applyFill="0" applyBorder="0" applyAlignment="0" applyProtection="0"/>
    <xf numFmtId="0" fontId="27" fillId="22" borderId="0" applyNumberFormat="0" applyBorder="0" applyAlignment="0" applyProtection="0"/>
    <xf numFmtId="0" fontId="35" fillId="0" borderId="0"/>
    <xf numFmtId="0" fontId="15" fillId="0" borderId="0"/>
    <xf numFmtId="37" fontId="14" fillId="0" borderId="0"/>
    <xf numFmtId="0" fontId="18" fillId="23" borderId="4" applyNumberFormat="0" applyFont="0" applyAlignment="0" applyProtection="0"/>
    <xf numFmtId="167" fontId="15" fillId="0" borderId="0" applyFont="0" applyFill="0" applyBorder="0" applyAlignment="0" applyProtection="0">
      <alignment horizontal="right"/>
    </xf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168" fontId="16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6" fontId="13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177" fontId="13" fillId="0" borderId="0" applyFont="0" applyFill="0" applyBorder="0" applyAlignment="0" applyProtection="0"/>
    <xf numFmtId="0" fontId="26" fillId="3" borderId="0" applyNumberFormat="0" applyBorder="0" applyAlignment="0" applyProtection="0"/>
    <xf numFmtId="41" fontId="13" fillId="0" borderId="0" applyFont="0" applyFill="0" applyBorder="0" applyAlignment="0" applyProtection="0"/>
    <xf numFmtId="0" fontId="27" fillId="22" borderId="0" applyNumberFormat="0" applyBorder="0" applyAlignment="0" applyProtection="0"/>
    <xf numFmtId="0" fontId="13" fillId="23" borderId="4" applyNumberFormat="0" applyFont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12" fillId="0" borderId="0"/>
    <xf numFmtId="43" fontId="13" fillId="0" borderId="0" applyFont="0" applyFill="0" applyBorder="0" applyAlignment="0" applyProtection="0"/>
    <xf numFmtId="0" fontId="50" fillId="0" borderId="0"/>
    <xf numFmtId="0" fontId="11" fillId="0" borderId="0"/>
    <xf numFmtId="43" fontId="51" fillId="0" borderId="0" applyFon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0" fontId="13" fillId="0" borderId="0"/>
    <xf numFmtId="0" fontId="53" fillId="0" borderId="0"/>
    <xf numFmtId="43" fontId="5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54" fillId="25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55" fillId="0" borderId="0"/>
    <xf numFmtId="0" fontId="7" fillId="0" borderId="0"/>
    <xf numFmtId="43" fontId="7" fillId="0" borderId="0" applyFont="0" applyFill="0" applyBorder="0" applyAlignment="0" applyProtection="0"/>
    <xf numFmtId="0" fontId="21" fillId="16" borderId="16" applyNumberFormat="0" applyAlignment="0" applyProtection="0"/>
    <xf numFmtId="0" fontId="22" fillId="17" borderId="17" applyNumberFormat="0" applyAlignment="0" applyProtection="0"/>
    <xf numFmtId="0" fontId="25" fillId="7" borderId="16" applyNumberFormat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23" borderId="18" applyNumberFormat="0" applyFont="0" applyAlignment="0" applyProtection="0"/>
    <xf numFmtId="0" fontId="28" fillId="16" borderId="19" applyNumberFormat="0" applyAlignment="0" applyProtection="0"/>
    <xf numFmtId="0" fontId="34" fillId="0" borderId="20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5">
    <xf numFmtId="0" fontId="0" fillId="0" borderId="0" xfId="0"/>
    <xf numFmtId="37" fontId="17" fillId="0" borderId="10" xfId="37" applyFont="1" applyBorder="1" applyAlignment="1" applyProtection="1">
      <alignment horizontal="center" vertical="center" wrapText="1"/>
      <protection hidden="1"/>
    </xf>
    <xf numFmtId="37" fontId="13" fillId="0" borderId="0" xfId="37" applyFont="1" applyProtection="1">
      <protection hidden="1"/>
    </xf>
    <xf numFmtId="37" fontId="37" fillId="0" borderId="0" xfId="37" applyFont="1" applyAlignment="1" applyProtection="1">
      <alignment horizontal="center" vertical="center"/>
      <protection hidden="1"/>
    </xf>
    <xf numFmtId="37" fontId="37" fillId="0" borderId="0" xfId="37" applyFont="1" applyProtection="1">
      <protection hidden="1"/>
    </xf>
    <xf numFmtId="37" fontId="42" fillId="0" borderId="0" xfId="37" applyFont="1" applyAlignment="1" applyProtection="1">
      <alignment horizontal="center" vertical="center" wrapText="1"/>
      <protection hidden="1"/>
    </xf>
    <xf numFmtId="37" fontId="42" fillId="0" borderId="0" xfId="37" applyFont="1" applyProtection="1">
      <protection hidden="1"/>
    </xf>
    <xf numFmtId="171" fontId="42" fillId="0" borderId="0" xfId="37" applyNumberFormat="1" applyFont="1" applyProtection="1">
      <protection hidden="1"/>
    </xf>
    <xf numFmtId="37" fontId="37" fillId="0" borderId="0" xfId="37" applyFont="1" applyAlignment="1" applyProtection="1">
      <alignment horizontal="center" vertical="center" wrapText="1"/>
      <protection hidden="1"/>
    </xf>
    <xf numFmtId="171" fontId="13" fillId="0" borderId="0" xfId="37" applyNumberFormat="1" applyFont="1" applyProtection="1">
      <protection hidden="1"/>
    </xf>
    <xf numFmtId="39" fontId="17" fillId="0" borderId="10" xfId="37" applyNumberFormat="1" applyFont="1" applyBorder="1" applyAlignment="1" applyProtection="1">
      <alignment horizontal="center" vertical="center" wrapText="1"/>
      <protection hidden="1"/>
    </xf>
    <xf numFmtId="37" fontId="39" fillId="0" borderId="0" xfId="37" applyFont="1" applyAlignment="1" applyProtection="1">
      <alignment horizontal="center" vertical="center" wrapText="1"/>
      <protection hidden="1"/>
    </xf>
    <xf numFmtId="39" fontId="37" fillId="0" borderId="0" xfId="37" applyNumberFormat="1" applyFont="1" applyAlignment="1" applyProtection="1">
      <alignment horizontal="center" vertical="center" wrapText="1"/>
      <protection hidden="1"/>
    </xf>
    <xf numFmtId="39" fontId="42" fillId="0" borderId="0" xfId="37" applyNumberFormat="1" applyFont="1" applyAlignment="1" applyProtection="1">
      <alignment horizontal="center" vertical="center" wrapText="1"/>
      <protection hidden="1"/>
    </xf>
    <xf numFmtId="37" fontId="13" fillId="0" borderId="0" xfId="37" applyFont="1" applyAlignment="1" applyProtection="1">
      <alignment wrapText="1"/>
      <protection hidden="1"/>
    </xf>
    <xf numFmtId="37" fontId="49" fillId="0" borderId="0" xfId="37" applyFont="1" applyProtection="1">
      <protection hidden="1"/>
    </xf>
    <xf numFmtId="171" fontId="37" fillId="0" borderId="0" xfId="0" applyNumberFormat="1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3" fillId="0" borderId="0" xfId="53"/>
    <xf numFmtId="0" fontId="13" fillId="0" borderId="0" xfId="53" applyAlignment="1">
      <alignment vertical="center"/>
    </xf>
    <xf numFmtId="3" fontId="13" fillId="0" borderId="0" xfId="53" applyNumberFormat="1" applyAlignment="1">
      <alignment horizontal="center" vertical="center"/>
    </xf>
    <xf numFmtId="0" fontId="13" fillId="0" borderId="0" xfId="53" applyAlignment="1">
      <alignment horizontal="center" vertical="center"/>
    </xf>
    <xf numFmtId="178" fontId="0" fillId="0" borderId="0" xfId="51" applyNumberFormat="1" applyFont="1"/>
    <xf numFmtId="178" fontId="13" fillId="0" borderId="0" xfId="51" applyNumberFormat="1" applyFont="1"/>
    <xf numFmtId="37" fontId="17" fillId="0" borderId="0" xfId="37" applyFont="1" applyProtection="1">
      <protection hidden="1"/>
    </xf>
    <xf numFmtId="170" fontId="13" fillId="0" borderId="0" xfId="40" applyNumberFormat="1" applyFont="1" applyProtection="1">
      <protection hidden="1"/>
    </xf>
    <xf numFmtId="164" fontId="13" fillId="0" borderId="0" xfId="33" applyFont="1" applyBorder="1" applyProtection="1">
      <protection hidden="1"/>
    </xf>
    <xf numFmtId="175" fontId="13" fillId="0" borderId="0" xfId="40" applyNumberFormat="1" applyFont="1" applyProtection="1">
      <protection hidden="1"/>
    </xf>
    <xf numFmtId="174" fontId="13" fillId="0" borderId="0" xfId="37" applyNumberFormat="1" applyFont="1" applyProtection="1">
      <protection hidden="1"/>
    </xf>
    <xf numFmtId="173" fontId="13" fillId="0" borderId="0" xfId="37" applyNumberFormat="1" applyFont="1" applyProtection="1">
      <protection hidden="1"/>
    </xf>
    <xf numFmtId="0" fontId="13" fillId="24" borderId="0" xfId="106" applyFill="1"/>
    <xf numFmtId="178" fontId="0" fillId="24" borderId="0" xfId="51" applyNumberFormat="1" applyFont="1" applyFill="1"/>
    <xf numFmtId="178" fontId="0" fillId="24" borderId="0" xfId="51" applyNumberFormat="1" applyFont="1" applyFill="1" applyBorder="1"/>
    <xf numFmtId="0" fontId="17" fillId="24" borderId="0" xfId="106" applyFont="1" applyFill="1"/>
    <xf numFmtId="0" fontId="17" fillId="0" borderId="0" xfId="106" applyFont="1"/>
    <xf numFmtId="0" fontId="37" fillId="24" borderId="0" xfId="106" applyFont="1" applyFill="1" applyAlignment="1">
      <alignment horizontal="center" vertical="center" wrapText="1"/>
    </xf>
    <xf numFmtId="43" fontId="13" fillId="0" borderId="0" xfId="53" applyNumberFormat="1"/>
    <xf numFmtId="43" fontId="0" fillId="0" borderId="0" xfId="51" applyFont="1"/>
    <xf numFmtId="165" fontId="13" fillId="0" borderId="0" xfId="33" applyNumberFormat="1"/>
    <xf numFmtId="180" fontId="13" fillId="0" borderId="0" xfId="53" applyNumberFormat="1"/>
    <xf numFmtId="180" fontId="13" fillId="0" borderId="0" xfId="33" applyNumberFormat="1"/>
    <xf numFmtId="172" fontId="13" fillId="0" borderId="0" xfId="53" applyNumberFormat="1"/>
    <xf numFmtId="172" fontId="13" fillId="0" borderId="0" xfId="33" applyNumberFormat="1"/>
    <xf numFmtId="10" fontId="13" fillId="0" borderId="0" xfId="40" applyNumberFormat="1" applyFont="1" applyAlignment="1" applyProtection="1">
      <alignment horizontal="center"/>
      <protection hidden="1"/>
    </xf>
    <xf numFmtId="179" fontId="0" fillId="0" borderId="0" xfId="51" applyNumberFormat="1" applyFont="1" applyFill="1" applyBorder="1"/>
    <xf numFmtId="181" fontId="13" fillId="0" borderId="0" xfId="53" applyNumberFormat="1"/>
    <xf numFmtId="181" fontId="13" fillId="0" borderId="0" xfId="51" applyNumberFormat="1" applyFont="1"/>
    <xf numFmtId="181" fontId="0" fillId="0" borderId="0" xfId="51" applyNumberFormat="1" applyFont="1"/>
    <xf numFmtId="164" fontId="13" fillId="0" borderId="0" xfId="33" applyFont="1"/>
    <xf numFmtId="164" fontId="0" fillId="0" borderId="0" xfId="33" applyFont="1"/>
    <xf numFmtId="178" fontId="0" fillId="0" borderId="0" xfId="51" applyNumberFormat="1" applyFont="1" applyFill="1" applyBorder="1"/>
    <xf numFmtId="37" fontId="52" fillId="0" borderId="0" xfId="37" applyFont="1" applyAlignment="1" applyProtection="1">
      <alignment horizontal="center" vertical="center"/>
      <protection hidden="1"/>
    </xf>
    <xf numFmtId="171" fontId="37" fillId="0" borderId="0" xfId="39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118" applyFont="1"/>
    <xf numFmtId="178" fontId="36" fillId="0" borderId="0" xfId="119" applyNumberFormat="1" applyFont="1"/>
    <xf numFmtId="178" fontId="37" fillId="24" borderId="0" xfId="51" applyNumberFormat="1" applyFont="1" applyFill="1" applyAlignment="1">
      <alignment horizontal="center" vertical="center"/>
    </xf>
    <xf numFmtId="0" fontId="42" fillId="24" borderId="0" xfId="106" applyFont="1" applyFill="1"/>
    <xf numFmtId="9" fontId="37" fillId="24" borderId="0" xfId="107" applyFont="1" applyFill="1" applyAlignment="1">
      <alignment horizontal="center" vertical="center"/>
    </xf>
    <xf numFmtId="0" fontId="37" fillId="24" borderId="0" xfId="106" applyFont="1" applyFill="1"/>
    <xf numFmtId="164" fontId="13" fillId="0" borderId="0" xfId="33"/>
    <xf numFmtId="179" fontId="13" fillId="0" borderId="0" xfId="53" applyNumberFormat="1"/>
    <xf numFmtId="184" fontId="13" fillId="0" borderId="0" xfId="37" applyNumberFormat="1" applyFont="1" applyProtection="1">
      <protection hidden="1"/>
    </xf>
    <xf numFmtId="185" fontId="13" fillId="0" borderId="0" xfId="37" applyNumberFormat="1" applyFont="1" applyProtection="1">
      <protection hidden="1"/>
    </xf>
    <xf numFmtId="185" fontId="37" fillId="0" borderId="0" xfId="37" applyNumberFormat="1" applyFont="1" applyProtection="1">
      <protection hidden="1"/>
    </xf>
    <xf numFmtId="185" fontId="42" fillId="0" borderId="0" xfId="37" applyNumberFormat="1" applyFont="1" applyProtection="1">
      <protection hidden="1"/>
    </xf>
    <xf numFmtId="178" fontId="36" fillId="0" borderId="0" xfId="119" applyNumberFormat="1" applyFont="1" applyBorder="1" applyAlignment="1">
      <alignment horizontal="center"/>
    </xf>
    <xf numFmtId="183" fontId="36" fillId="0" borderId="0" xfId="118" applyNumberFormat="1" applyFont="1" applyBorder="1" applyAlignment="1">
      <alignment horizontal="center"/>
    </xf>
    <xf numFmtId="183" fontId="36" fillId="0" borderId="0" xfId="118" applyNumberFormat="1" applyFont="1" applyBorder="1"/>
    <xf numFmtId="0" fontId="36" fillId="0" borderId="0" xfId="118" applyNumberFormat="1" applyFont="1"/>
    <xf numFmtId="0" fontId="13" fillId="24" borderId="0" xfId="106" applyNumberFormat="1" applyFill="1"/>
    <xf numFmtId="37" fontId="13" fillId="0" borderId="0" xfId="37" applyFont="1" applyFill="1" applyProtection="1">
      <protection hidden="1"/>
    </xf>
    <xf numFmtId="37" fontId="49" fillId="0" borderId="0" xfId="37" applyFont="1" applyFill="1" applyProtection="1">
      <protection hidden="1"/>
    </xf>
    <xf numFmtId="37" fontId="13" fillId="0" borderId="0" xfId="37" applyFont="1" applyBorder="1" applyAlignment="1" applyProtection="1">
      <alignment horizontal="right"/>
      <protection hidden="1"/>
    </xf>
    <xf numFmtId="165" fontId="13" fillId="27" borderId="0" xfId="33" applyNumberFormat="1" applyFont="1" applyFill="1" applyBorder="1" applyAlignment="1" applyProtection="1">
      <alignment horizontal="right"/>
      <protection hidden="1"/>
    </xf>
    <xf numFmtId="37" fontId="17" fillId="0" borderId="0" xfId="37" applyFont="1" applyFill="1" applyBorder="1" applyAlignment="1" applyProtection="1">
      <alignment horizontal="right"/>
      <protection hidden="1"/>
    </xf>
    <xf numFmtId="37" fontId="13" fillId="0" borderId="0" xfId="37" applyFont="1" applyBorder="1" applyProtection="1">
      <protection hidden="1"/>
    </xf>
    <xf numFmtId="165" fontId="13" fillId="27" borderId="0" xfId="33" applyNumberFormat="1" applyFont="1" applyFill="1" applyBorder="1" applyProtection="1">
      <protection hidden="1"/>
    </xf>
    <xf numFmtId="37" fontId="13" fillId="0" borderId="21" xfId="37" applyFont="1" applyBorder="1" applyAlignment="1" applyProtection="1">
      <alignment horizontal="left"/>
      <protection hidden="1"/>
    </xf>
    <xf numFmtId="37" fontId="13" fillId="0" borderId="14" xfId="37" applyFont="1" applyBorder="1" applyAlignment="1" applyProtection="1">
      <alignment horizontal="left"/>
      <protection hidden="1"/>
    </xf>
    <xf numFmtId="184" fontId="13" fillId="0" borderId="13" xfId="37" applyNumberFormat="1" applyFont="1" applyBorder="1" applyProtection="1">
      <protection hidden="1"/>
    </xf>
    <xf numFmtId="37" fontId="17" fillId="0" borderId="24" xfId="37" applyFont="1" applyBorder="1" applyAlignment="1" applyProtection="1">
      <alignment horizontal="left"/>
      <protection hidden="1"/>
    </xf>
    <xf numFmtId="37" fontId="17" fillId="0" borderId="25" xfId="37" applyFont="1" applyBorder="1" applyAlignment="1" applyProtection="1">
      <alignment horizontal="right"/>
      <protection hidden="1"/>
    </xf>
    <xf numFmtId="37" fontId="17" fillId="27" borderId="25" xfId="37" applyFont="1" applyFill="1" applyBorder="1" applyAlignment="1" applyProtection="1">
      <alignment horizontal="right"/>
      <protection hidden="1"/>
    </xf>
    <xf numFmtId="37" fontId="17" fillId="0" borderId="25" xfId="37" applyFont="1" applyFill="1" applyBorder="1" applyAlignment="1" applyProtection="1">
      <alignment horizontal="right"/>
      <protection hidden="1"/>
    </xf>
    <xf numFmtId="184" fontId="17" fillId="0" borderId="26" xfId="37" applyNumberFormat="1" applyFont="1" applyBorder="1" applyAlignment="1" applyProtection="1">
      <alignment horizontal="right"/>
      <protection hidden="1"/>
    </xf>
    <xf numFmtId="37" fontId="13" fillId="0" borderId="0" xfId="37" applyFont="1" applyFill="1" applyBorder="1" applyAlignment="1" applyProtection="1">
      <alignment wrapText="1"/>
      <protection hidden="1"/>
    </xf>
    <xf numFmtId="184" fontId="13" fillId="0" borderId="13" xfId="37" applyNumberFormat="1" applyFont="1" applyBorder="1" applyAlignment="1" applyProtection="1">
      <alignment horizontal="right"/>
      <protection hidden="1"/>
    </xf>
    <xf numFmtId="49" fontId="46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17" fillId="0" borderId="15" xfId="37" applyFont="1" applyBorder="1" applyAlignment="1" applyProtection="1">
      <alignment horizontal="center" vertical="center" wrapText="1"/>
      <protection hidden="1"/>
    </xf>
    <xf numFmtId="37" fontId="13" fillId="0" borderId="13" xfId="37" applyFont="1" applyBorder="1" applyAlignment="1" applyProtection="1">
      <alignment horizontal="right"/>
      <protection hidden="1"/>
    </xf>
    <xf numFmtId="37" fontId="17" fillId="0" borderId="26" xfId="37" applyFont="1" applyBorder="1" applyAlignment="1" applyProtection="1">
      <alignment horizontal="right"/>
      <protection hidden="1"/>
    </xf>
    <xf numFmtId="3" fontId="36" fillId="0" borderId="0" xfId="0" applyNumberFormat="1" applyFont="1" applyBorder="1" applyProtection="1">
      <protection hidden="1"/>
    </xf>
    <xf numFmtId="3" fontId="36" fillId="0" borderId="22" xfId="0" applyNumberFormat="1" applyFont="1" applyBorder="1" applyProtection="1">
      <protection hidden="1"/>
    </xf>
    <xf numFmtId="37" fontId="13" fillId="0" borderId="22" xfId="37" applyFont="1" applyBorder="1" applyProtection="1">
      <protection hidden="1"/>
    </xf>
    <xf numFmtId="3" fontId="38" fillId="0" borderId="25" xfId="0" applyNumberFormat="1" applyFont="1" applyBorder="1" applyProtection="1">
      <protection hidden="1"/>
    </xf>
    <xf numFmtId="37" fontId="17" fillId="0" borderId="25" xfId="37" applyFont="1" applyBorder="1" applyProtection="1">
      <protection hidden="1"/>
    </xf>
    <xf numFmtId="41" fontId="13" fillId="24" borderId="0" xfId="106" applyNumberFormat="1" applyFill="1" applyBorder="1"/>
    <xf numFmtId="0" fontId="17" fillId="0" borderId="21" xfId="106" applyFont="1" applyBorder="1"/>
    <xf numFmtId="178" fontId="0" fillId="24" borderId="22" xfId="51" applyNumberFormat="1" applyFont="1" applyFill="1" applyBorder="1"/>
    <xf numFmtId="41" fontId="0" fillId="24" borderId="22" xfId="51" applyNumberFormat="1" applyFont="1" applyFill="1" applyBorder="1"/>
    <xf numFmtId="0" fontId="17" fillId="0" borderId="14" xfId="106" applyFont="1" applyBorder="1"/>
    <xf numFmtId="0" fontId="17" fillId="24" borderId="14" xfId="106" applyFont="1" applyFill="1" applyBorder="1"/>
    <xf numFmtId="0" fontId="17" fillId="24" borderId="24" xfId="106" applyFont="1" applyFill="1" applyBorder="1"/>
    <xf numFmtId="178" fontId="17" fillId="24" borderId="25" xfId="51" applyNumberFormat="1" applyFont="1" applyFill="1" applyBorder="1"/>
    <xf numFmtId="178" fontId="17" fillId="24" borderId="25" xfId="106" applyNumberFormat="1" applyFont="1" applyFill="1" applyBorder="1"/>
    <xf numFmtId="0" fontId="17" fillId="24" borderId="15" xfId="106" applyFont="1" applyFill="1" applyBorder="1" applyAlignment="1">
      <alignment horizontal="center" vertical="center"/>
    </xf>
    <xf numFmtId="0" fontId="17" fillId="24" borderId="15" xfId="106" applyFont="1" applyFill="1" applyBorder="1" applyAlignment="1">
      <alignment horizontal="center" vertical="center" wrapText="1"/>
    </xf>
    <xf numFmtId="0" fontId="17" fillId="24" borderId="25" xfId="106" applyFont="1" applyFill="1" applyBorder="1" applyAlignment="1">
      <alignment horizontal="center" vertical="center" wrapText="1"/>
    </xf>
    <xf numFmtId="0" fontId="17" fillId="24" borderId="25" xfId="106" applyFont="1" applyFill="1" applyBorder="1" applyAlignment="1">
      <alignment vertical="center" wrapText="1"/>
    </xf>
    <xf numFmtId="0" fontId="36" fillId="0" borderId="14" xfId="118" applyFont="1" applyBorder="1"/>
    <xf numFmtId="178" fontId="36" fillId="0" borderId="13" xfId="119" applyNumberFormat="1" applyFont="1" applyBorder="1" applyAlignment="1"/>
    <xf numFmtId="0" fontId="38" fillId="0" borderId="24" xfId="118" applyFont="1" applyBorder="1"/>
    <xf numFmtId="178" fontId="38" fillId="0" borderId="25" xfId="119" applyNumberFormat="1" applyFont="1" applyBorder="1"/>
    <xf numFmtId="183" fontId="36" fillId="0" borderId="25" xfId="118" applyNumberFormat="1" applyFont="1" applyBorder="1"/>
    <xf numFmtId="178" fontId="36" fillId="0" borderId="26" xfId="119" applyNumberFormat="1" applyFont="1" applyBorder="1"/>
    <xf numFmtId="0" fontId="38" fillId="0" borderId="15" xfId="118" applyFont="1" applyBorder="1"/>
    <xf numFmtId="178" fontId="38" fillId="0" borderId="15" xfId="119" applyNumberFormat="1" applyFont="1" applyBorder="1" applyAlignment="1">
      <alignment horizontal="center" vertical="center"/>
    </xf>
    <xf numFmtId="0" fontId="38" fillId="0" borderId="15" xfId="118" applyFont="1" applyBorder="1" applyAlignment="1">
      <alignment horizontal="center"/>
    </xf>
    <xf numFmtId="178" fontId="38" fillId="0" borderId="15" xfId="119" applyNumberFormat="1" applyFont="1" applyBorder="1" applyAlignment="1">
      <alignment horizontal="center"/>
    </xf>
    <xf numFmtId="0" fontId="13" fillId="0" borderId="14" xfId="53" applyBorder="1" applyAlignment="1">
      <alignment vertical="center" wrapText="1"/>
    </xf>
    <xf numFmtId="179" fontId="13" fillId="0" borderId="0" xfId="33" applyNumberFormat="1" applyFont="1" applyFill="1" applyBorder="1" applyAlignment="1">
      <alignment vertical="center" wrapText="1"/>
    </xf>
    <xf numFmtId="179" fontId="13" fillId="0" borderId="0" xfId="53" applyNumberFormat="1" applyBorder="1" applyAlignment="1">
      <alignment horizontal="center" vertical="center" wrapText="1"/>
    </xf>
    <xf numFmtId="179" fontId="13" fillId="0" borderId="13" xfId="53" applyNumberFormat="1" applyBorder="1" applyAlignment="1">
      <alignment horizontal="center" vertical="center" wrapText="1"/>
    </xf>
    <xf numFmtId="0" fontId="17" fillId="0" borderId="24" xfId="53" applyFont="1" applyBorder="1" applyAlignment="1">
      <alignment horizontal="center" vertical="center"/>
    </xf>
    <xf numFmtId="179" fontId="17" fillId="0" borderId="25" xfId="53" applyNumberFormat="1" applyFont="1" applyBorder="1" applyAlignment="1">
      <alignment vertical="center"/>
    </xf>
    <xf numFmtId="179" fontId="17" fillId="0" borderId="25" xfId="53" applyNumberFormat="1" applyFont="1" applyBorder="1" applyAlignment="1">
      <alignment horizontal="center" vertical="center"/>
    </xf>
    <xf numFmtId="179" fontId="17" fillId="0" borderId="26" xfId="53" applyNumberFormat="1" applyFont="1" applyBorder="1" applyAlignment="1">
      <alignment horizontal="center" vertical="center"/>
    </xf>
    <xf numFmtId="0" fontId="17" fillId="0" borderId="29" xfId="53" applyFont="1" applyBorder="1" applyAlignment="1">
      <alignment horizontal="center" vertical="center" wrapText="1"/>
    </xf>
    <xf numFmtId="0" fontId="17" fillId="0" borderId="30" xfId="53" applyFont="1" applyBorder="1" applyAlignment="1">
      <alignment horizontal="center" vertical="center" wrapText="1"/>
    </xf>
    <xf numFmtId="0" fontId="17" fillId="0" borderId="31" xfId="53" applyFont="1" applyBorder="1" applyAlignment="1">
      <alignment horizontal="center" vertical="center" wrapText="1"/>
    </xf>
    <xf numFmtId="0" fontId="17" fillId="0" borderId="24" xfId="53" applyFont="1" applyBorder="1" applyAlignment="1">
      <alignment vertical="center" wrapText="1"/>
    </xf>
    <xf numFmtId="179" fontId="17" fillId="0" borderId="25" xfId="33" applyNumberFormat="1" applyFont="1" applyFill="1" applyBorder="1" applyAlignment="1">
      <alignment vertical="center" wrapText="1"/>
    </xf>
    <xf numFmtId="179" fontId="17" fillId="0" borderId="25" xfId="53" applyNumberFormat="1" applyFont="1" applyBorder="1" applyAlignment="1">
      <alignment horizontal="center" vertical="center" wrapText="1"/>
    </xf>
    <xf numFmtId="179" fontId="17" fillId="0" borderId="25" xfId="33" applyNumberFormat="1" applyFont="1" applyFill="1" applyBorder="1" applyAlignment="1">
      <alignment horizontal="center" vertical="center" wrapText="1"/>
    </xf>
    <xf numFmtId="179" fontId="17" fillId="0" borderId="26" xfId="53" applyNumberFormat="1" applyFont="1" applyBorder="1" applyAlignment="1">
      <alignment horizontal="center" vertical="center" wrapText="1"/>
    </xf>
    <xf numFmtId="178" fontId="17" fillId="0" borderId="14" xfId="51" applyNumberFormat="1" applyFont="1" applyFill="1" applyBorder="1"/>
    <xf numFmtId="179" fontId="17" fillId="0" borderId="13" xfId="51" applyNumberFormat="1" applyFont="1" applyFill="1" applyBorder="1"/>
    <xf numFmtId="178" fontId="17" fillId="0" borderId="24" xfId="51" applyNumberFormat="1" applyFont="1" applyFill="1" applyBorder="1"/>
    <xf numFmtId="165" fontId="17" fillId="0" borderId="25" xfId="33" applyNumberFormat="1" applyFont="1" applyFill="1" applyBorder="1"/>
    <xf numFmtId="179" fontId="17" fillId="0" borderId="26" xfId="51" applyNumberFormat="1" applyFont="1" applyFill="1" applyBorder="1"/>
    <xf numFmtId="0" fontId="56" fillId="26" borderId="29" xfId="0" applyFont="1" applyFill="1" applyBorder="1" applyAlignment="1">
      <alignment horizontal="center" vertical="center"/>
    </xf>
    <xf numFmtId="0" fontId="56" fillId="26" borderId="30" xfId="0" applyFont="1" applyFill="1" applyBorder="1" applyAlignment="1">
      <alignment horizontal="center" vertical="center" wrapText="1"/>
    </xf>
    <xf numFmtId="178" fontId="56" fillId="26" borderId="30" xfId="33" applyNumberFormat="1" applyFont="1" applyFill="1" applyBorder="1" applyAlignment="1">
      <alignment horizontal="center" vertical="center" wrapText="1"/>
    </xf>
    <xf numFmtId="43" fontId="17" fillId="0" borderId="31" xfId="51" applyFont="1" applyFill="1" applyBorder="1" applyAlignment="1">
      <alignment horizontal="center" vertical="center"/>
    </xf>
    <xf numFmtId="186" fontId="13" fillId="0" borderId="0" xfId="53" applyNumberFormat="1"/>
    <xf numFmtId="37" fontId="17" fillId="0" borderId="15" xfId="37" applyFont="1" applyBorder="1" applyAlignment="1" applyProtection="1">
      <alignment horizontal="center" vertical="center" wrapText="1"/>
      <protection hidden="1"/>
    </xf>
    <xf numFmtId="165" fontId="13" fillId="0" borderId="22" xfId="33" applyNumberFormat="1" applyFont="1" applyFill="1" applyBorder="1" applyProtection="1">
      <protection hidden="1"/>
    </xf>
    <xf numFmtId="169" fontId="13" fillId="0" borderId="22" xfId="33" applyNumberFormat="1" applyFont="1" applyFill="1" applyBorder="1" applyProtection="1">
      <protection hidden="1"/>
    </xf>
    <xf numFmtId="171" fontId="13" fillId="0" borderId="22" xfId="40" applyNumberFormat="1" applyFont="1" applyFill="1" applyBorder="1" applyProtection="1">
      <protection hidden="1"/>
    </xf>
    <xf numFmtId="165" fontId="36" fillId="0" borderId="22" xfId="33" applyNumberFormat="1" applyFont="1" applyBorder="1" applyProtection="1">
      <protection hidden="1"/>
    </xf>
    <xf numFmtId="169" fontId="36" fillId="0" borderId="22" xfId="33" applyNumberFormat="1" applyFont="1" applyBorder="1" applyProtection="1">
      <protection hidden="1"/>
    </xf>
    <xf numFmtId="182" fontId="36" fillId="0" borderId="22" xfId="33" applyNumberFormat="1" applyFont="1" applyBorder="1" applyProtection="1">
      <protection hidden="1"/>
    </xf>
    <xf numFmtId="165" fontId="13" fillId="0" borderId="0" xfId="33" applyNumberFormat="1" applyFont="1" applyFill="1" applyBorder="1" applyProtection="1">
      <protection hidden="1"/>
    </xf>
    <xf numFmtId="169" fontId="13" fillId="0" borderId="0" xfId="33" applyNumberFormat="1" applyFont="1" applyFill="1" applyBorder="1" applyProtection="1">
      <protection hidden="1"/>
    </xf>
    <xf numFmtId="171" fontId="13" fillId="0" borderId="0" xfId="40" applyNumberFormat="1" applyFont="1" applyFill="1" applyBorder="1" applyProtection="1">
      <protection hidden="1"/>
    </xf>
    <xf numFmtId="165" fontId="36" fillId="0" borderId="0" xfId="33" applyNumberFormat="1" applyFont="1" applyBorder="1" applyProtection="1">
      <protection hidden="1"/>
    </xf>
    <xf numFmtId="169" fontId="36" fillId="0" borderId="0" xfId="33" applyNumberFormat="1" applyFont="1" applyBorder="1" applyProtection="1">
      <protection hidden="1"/>
    </xf>
    <xf numFmtId="182" fontId="36" fillId="0" borderId="0" xfId="33" applyNumberFormat="1" applyFont="1" applyBorder="1" applyProtection="1">
      <protection hidden="1"/>
    </xf>
    <xf numFmtId="165" fontId="38" fillId="0" borderId="25" xfId="33" applyNumberFormat="1" applyFont="1" applyFill="1" applyBorder="1" applyProtection="1">
      <protection hidden="1"/>
    </xf>
    <xf numFmtId="169" fontId="17" fillId="0" borderId="25" xfId="33" applyNumberFormat="1" applyFont="1" applyFill="1" applyBorder="1" applyProtection="1">
      <protection hidden="1"/>
    </xf>
    <xf numFmtId="165" fontId="17" fillId="0" borderId="25" xfId="40" applyNumberFormat="1" applyFont="1" applyFill="1" applyBorder="1" applyProtection="1">
      <protection hidden="1"/>
    </xf>
    <xf numFmtId="171" fontId="17" fillId="0" borderId="25" xfId="40" applyNumberFormat="1" applyFont="1" applyFill="1" applyBorder="1" applyProtection="1">
      <protection hidden="1"/>
    </xf>
    <xf numFmtId="165" fontId="17" fillId="0" borderId="25" xfId="33" applyNumberFormat="1" applyFont="1" applyFill="1" applyBorder="1" applyProtection="1">
      <protection hidden="1"/>
    </xf>
    <xf numFmtId="165" fontId="17" fillId="0" borderId="25" xfId="33" applyNumberFormat="1" applyFont="1" applyFill="1" applyBorder="1" applyAlignment="1" applyProtection="1">
      <protection hidden="1"/>
    </xf>
    <xf numFmtId="169" fontId="17" fillId="0" borderId="25" xfId="33" applyNumberFormat="1" applyFont="1" applyFill="1" applyBorder="1" applyAlignment="1" applyProtection="1"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9" fontId="17" fillId="0" borderId="15" xfId="0" applyNumberFormat="1" applyFont="1" applyBorder="1" applyAlignment="1" applyProtection="1">
      <alignment horizontal="center" vertical="center" wrapText="1"/>
      <protection hidden="1"/>
    </xf>
    <xf numFmtId="9" fontId="17" fillId="0" borderId="15" xfId="40" applyFont="1" applyFill="1" applyBorder="1" applyAlignment="1" applyProtection="1">
      <alignment horizontal="center" vertical="center" wrapText="1"/>
      <protection hidden="1"/>
    </xf>
    <xf numFmtId="37" fontId="17" fillId="24" borderId="15" xfId="37" applyFont="1" applyFill="1" applyBorder="1" applyAlignment="1" applyProtection="1">
      <alignment horizontal="center" vertical="center" wrapText="1"/>
      <protection hidden="1"/>
    </xf>
    <xf numFmtId="9" fontId="17" fillId="24" borderId="15" xfId="40" applyFont="1" applyFill="1" applyBorder="1" applyAlignment="1" applyProtection="1">
      <alignment horizontal="center" vertical="center" wrapText="1"/>
      <protection hidden="1"/>
    </xf>
    <xf numFmtId="171" fontId="17" fillId="24" borderId="15" xfId="40" applyNumberFormat="1" applyFont="1" applyFill="1" applyBorder="1" applyAlignment="1" applyProtection="1">
      <alignment horizontal="center" vertical="center" wrapText="1"/>
      <protection hidden="1"/>
    </xf>
    <xf numFmtId="171" fontId="44" fillId="0" borderId="15" xfId="0" applyNumberFormat="1" applyFont="1" applyBorder="1" applyAlignment="1" applyProtection="1">
      <alignment horizontal="center" vertical="center" wrapText="1"/>
      <protection hidden="1"/>
    </xf>
    <xf numFmtId="187" fontId="44" fillId="0" borderId="15" xfId="0" applyNumberFormat="1" applyFont="1" applyBorder="1" applyAlignment="1" applyProtection="1">
      <alignment horizontal="center" vertical="center" wrapText="1"/>
      <protection hidden="1"/>
    </xf>
    <xf numFmtId="187" fontId="13" fillId="0" borderId="22" xfId="40" applyNumberFormat="1" applyFont="1" applyFill="1" applyBorder="1" applyProtection="1">
      <protection hidden="1"/>
    </xf>
    <xf numFmtId="187" fontId="13" fillId="0" borderId="0" xfId="40" applyNumberFormat="1" applyFont="1" applyFill="1" applyBorder="1" applyProtection="1">
      <protection hidden="1"/>
    </xf>
    <xf numFmtId="187" fontId="17" fillId="0" borderId="25" xfId="40" applyNumberFormat="1" applyFont="1" applyFill="1" applyBorder="1" applyProtection="1">
      <protection hidden="1"/>
    </xf>
    <xf numFmtId="187" fontId="13" fillId="0" borderId="0" xfId="37" applyNumberFormat="1" applyFont="1" applyProtection="1">
      <protection hidden="1"/>
    </xf>
    <xf numFmtId="187" fontId="17" fillId="0" borderId="15" xfId="0" applyNumberFormat="1" applyFont="1" applyBorder="1" applyAlignment="1" applyProtection="1">
      <alignment horizontal="center" vertical="center" wrapText="1"/>
      <protection hidden="1"/>
    </xf>
    <xf numFmtId="187" fontId="17" fillId="24" borderId="15" xfId="40" applyNumberFormat="1" applyFont="1" applyFill="1" applyBorder="1" applyAlignment="1" applyProtection="1">
      <alignment horizontal="center" vertical="center" wrapText="1"/>
      <protection hidden="1"/>
    </xf>
    <xf numFmtId="187" fontId="36" fillId="0" borderId="22" xfId="33" applyNumberFormat="1" applyFont="1" applyBorder="1" applyProtection="1">
      <protection hidden="1"/>
    </xf>
    <xf numFmtId="187" fontId="36" fillId="0" borderId="0" xfId="33" applyNumberFormat="1" applyFont="1" applyBorder="1" applyProtection="1">
      <protection hidden="1"/>
    </xf>
    <xf numFmtId="187" fontId="17" fillId="0" borderId="25" xfId="33" applyNumberFormat="1" applyFont="1" applyFill="1" applyBorder="1" applyAlignment="1" applyProtection="1">
      <protection hidden="1"/>
    </xf>
    <xf numFmtId="187" fontId="13" fillId="0" borderId="0" xfId="40" applyNumberFormat="1" applyFont="1" applyProtection="1">
      <protection hidden="1"/>
    </xf>
    <xf numFmtId="187" fontId="13" fillId="0" borderId="0" xfId="40" applyNumberFormat="1" applyFont="1" applyFill="1" applyProtection="1">
      <protection hidden="1"/>
    </xf>
    <xf numFmtId="187" fontId="13" fillId="0" borderId="23" xfId="40" applyNumberFormat="1" applyFont="1" applyBorder="1" applyProtection="1">
      <protection hidden="1"/>
    </xf>
    <xf numFmtId="187" fontId="13" fillId="0" borderId="13" xfId="40" applyNumberFormat="1" applyFont="1" applyBorder="1" applyProtection="1">
      <protection hidden="1"/>
    </xf>
    <xf numFmtId="187" fontId="17" fillId="0" borderId="26" xfId="40" applyNumberFormat="1" applyFont="1" applyBorder="1" applyProtection="1">
      <protection hidden="1"/>
    </xf>
    <xf numFmtId="171" fontId="44" fillId="0" borderId="10" xfId="0" applyNumberFormat="1" applyFont="1" applyBorder="1" applyAlignment="1" applyProtection="1">
      <alignment horizontal="center" vertical="center" wrapText="1"/>
      <protection hidden="1"/>
    </xf>
    <xf numFmtId="171" fontId="42" fillId="0" borderId="0" xfId="37" applyNumberFormat="1" applyFont="1" applyAlignment="1" applyProtection="1">
      <alignment horizontal="center" vertical="center" wrapText="1"/>
      <protection hidden="1"/>
    </xf>
    <xf numFmtId="171" fontId="60" fillId="0" borderId="10" xfId="0" applyNumberFormat="1" applyFont="1" applyFill="1" applyBorder="1" applyAlignment="1" applyProtection="1">
      <alignment horizontal="center" vertical="center" wrapText="1"/>
      <protection hidden="1"/>
    </xf>
    <xf numFmtId="171" fontId="43" fillId="0" borderId="0" xfId="0" applyNumberFormat="1" applyFont="1" applyAlignment="1" applyProtection="1">
      <alignment horizontal="center" vertical="center" wrapText="1"/>
      <protection hidden="1"/>
    </xf>
    <xf numFmtId="171" fontId="13" fillId="0" borderId="22" xfId="33" applyNumberFormat="1" applyFont="1" applyFill="1" applyBorder="1" applyProtection="1">
      <protection hidden="1"/>
    </xf>
    <xf numFmtId="171" fontId="13" fillId="0" borderId="0" xfId="33" applyNumberFormat="1" applyFont="1" applyFill="1" applyBorder="1" applyProtection="1">
      <protection hidden="1"/>
    </xf>
    <xf numFmtId="171" fontId="17" fillId="0" borderId="12" xfId="0" applyNumberFormat="1" applyFont="1" applyBorder="1" applyAlignment="1" applyProtection="1">
      <alignment horizontal="center" vertical="center" wrapText="1"/>
      <protection hidden="1"/>
    </xf>
    <xf numFmtId="171" fontId="37" fillId="0" borderId="0" xfId="37" applyNumberFormat="1" applyFont="1" applyProtection="1">
      <protection hidden="1"/>
    </xf>
    <xf numFmtId="171" fontId="37" fillId="0" borderId="0" xfId="37" applyNumberFormat="1" applyFont="1" applyAlignment="1" applyProtection="1">
      <alignment horizontal="center" vertical="center" wrapText="1"/>
      <protection hidden="1"/>
    </xf>
    <xf numFmtId="171" fontId="13" fillId="0" borderId="23" xfId="37" applyNumberFormat="1" applyFont="1" applyBorder="1" applyProtection="1">
      <protection hidden="1"/>
    </xf>
    <xf numFmtId="171" fontId="13" fillId="0" borderId="13" xfId="37" applyNumberFormat="1" applyFont="1" applyBorder="1" applyProtection="1">
      <protection hidden="1"/>
    </xf>
    <xf numFmtId="171" fontId="17" fillId="0" borderId="26" xfId="37" applyNumberFormat="1" applyFont="1" applyBorder="1" applyProtection="1">
      <protection hidden="1"/>
    </xf>
    <xf numFmtId="182" fontId="0" fillId="24" borderId="22" xfId="107" applyNumberFormat="1" applyFont="1" applyFill="1" applyBorder="1"/>
    <xf numFmtId="182" fontId="0" fillId="24" borderId="0" xfId="107" applyNumberFormat="1" applyFont="1" applyFill="1" applyBorder="1"/>
    <xf numFmtId="182" fontId="17" fillId="24" borderId="25" xfId="107" applyNumberFormat="1" applyFont="1" applyFill="1" applyBorder="1"/>
    <xf numFmtId="182" fontId="0" fillId="24" borderId="22" xfId="51" applyNumberFormat="1" applyFont="1" applyFill="1" applyBorder="1"/>
    <xf numFmtId="182" fontId="0" fillId="24" borderId="0" xfId="51" applyNumberFormat="1" applyFont="1" applyFill="1" applyBorder="1"/>
    <xf numFmtId="182" fontId="17" fillId="24" borderId="25" xfId="51" applyNumberFormat="1" applyFont="1" applyFill="1" applyBorder="1"/>
    <xf numFmtId="188" fontId="13" fillId="24" borderId="22" xfId="106" applyNumberFormat="1" applyFill="1" applyBorder="1"/>
    <xf numFmtId="188" fontId="0" fillId="24" borderId="22" xfId="51" applyNumberFormat="1" applyFont="1" applyFill="1" applyBorder="1"/>
    <xf numFmtId="188" fontId="13" fillId="24" borderId="0" xfId="106" applyNumberFormat="1" applyFill="1" applyBorder="1"/>
    <xf numFmtId="188" fontId="0" fillId="24" borderId="0" xfId="51" applyNumberFormat="1" applyFont="1" applyFill="1" applyBorder="1"/>
    <xf numFmtId="188" fontId="17" fillId="24" borderId="25" xfId="106" applyNumberFormat="1" applyFont="1" applyFill="1" applyBorder="1"/>
    <xf numFmtId="188" fontId="17" fillId="24" borderId="25" xfId="51" applyNumberFormat="1" applyFont="1" applyFill="1" applyBorder="1"/>
    <xf numFmtId="189" fontId="13" fillId="24" borderId="23" xfId="106" applyNumberFormat="1" applyFill="1" applyBorder="1"/>
    <xf numFmtId="189" fontId="13" fillId="24" borderId="13" xfId="106" applyNumberFormat="1" applyFill="1" applyBorder="1"/>
    <xf numFmtId="189" fontId="17" fillId="24" borderId="26" xfId="106" applyNumberFormat="1" applyFont="1" applyFill="1" applyBorder="1"/>
    <xf numFmtId="171" fontId="61" fillId="0" borderId="0" xfId="37" applyNumberFormat="1" applyFont="1" applyAlignment="1" applyProtection="1">
      <alignment horizontal="center" vertical="center"/>
      <protection hidden="1"/>
    </xf>
    <xf numFmtId="0" fontId="17" fillId="0" borderId="0" xfId="53" applyFont="1" applyAlignment="1">
      <alignment horizontal="center" vertical="center"/>
    </xf>
    <xf numFmtId="178" fontId="17" fillId="0" borderId="0" xfId="51" applyNumberFormat="1" applyFont="1" applyAlignment="1">
      <alignment horizontal="center"/>
    </xf>
    <xf numFmtId="37" fontId="13" fillId="0" borderId="0" xfId="37" applyFont="1" applyAlignment="1" applyProtection="1">
      <alignment horizontal="left" vertical="top" wrapText="1"/>
      <protection hidden="1"/>
    </xf>
    <xf numFmtId="0" fontId="61" fillId="0" borderId="0" xfId="0" applyFont="1" applyBorder="1" applyAlignment="1">
      <alignment horizontal="center"/>
    </xf>
    <xf numFmtId="37" fontId="61" fillId="0" borderId="0" xfId="37" applyFont="1" applyBorder="1" applyAlignment="1" applyProtection="1">
      <alignment horizontal="center"/>
      <protection hidden="1"/>
    </xf>
    <xf numFmtId="187" fontId="39" fillId="0" borderId="22" xfId="39" applyNumberFormat="1" applyFont="1" applyFill="1" applyBorder="1" applyAlignment="1" applyProtection="1">
      <alignment horizontal="center" vertical="center" wrapText="1"/>
      <protection hidden="1"/>
    </xf>
    <xf numFmtId="187" fontId="39" fillId="0" borderId="25" xfId="39" applyNumberFormat="1" applyFont="1" applyFill="1" applyBorder="1" applyAlignment="1" applyProtection="1">
      <alignment horizontal="center" vertical="center" wrapText="1"/>
      <protection hidden="1"/>
    </xf>
    <xf numFmtId="37" fontId="37" fillId="0" borderId="22" xfId="37" applyFont="1" applyBorder="1" applyAlignment="1" applyProtection="1">
      <alignment horizontal="center" vertical="center" wrapText="1"/>
      <protection hidden="1"/>
    </xf>
    <xf numFmtId="37" fontId="37" fillId="0" borderId="25" xfId="37" applyFont="1" applyBorder="1" applyAlignment="1" applyProtection="1">
      <alignment horizontal="center" vertical="center" wrapText="1"/>
      <protection hidden="1"/>
    </xf>
    <xf numFmtId="9" fontId="37" fillId="0" borderId="22" xfId="0" applyNumberFormat="1" applyFont="1" applyBorder="1" applyAlignment="1" applyProtection="1">
      <alignment horizontal="center" vertical="center" wrapText="1"/>
      <protection hidden="1"/>
    </xf>
    <xf numFmtId="9" fontId="37" fillId="0" borderId="25" xfId="0" applyNumberFormat="1" applyFont="1" applyBorder="1" applyAlignment="1" applyProtection="1">
      <alignment horizontal="center" vertical="center" wrapText="1"/>
      <protection hidden="1"/>
    </xf>
    <xf numFmtId="0" fontId="37" fillId="0" borderId="22" xfId="0" applyFont="1" applyBorder="1" applyAlignment="1" applyProtection="1">
      <alignment horizontal="center" vertical="center" wrapText="1"/>
      <protection hidden="1"/>
    </xf>
    <xf numFmtId="0" fontId="37" fillId="0" borderId="25" xfId="0" applyFont="1" applyBorder="1" applyAlignment="1" applyProtection="1">
      <alignment horizontal="center" vertical="center" wrapText="1"/>
      <protection hidden="1"/>
    </xf>
    <xf numFmtId="187" fontId="37" fillId="0" borderId="22" xfId="39" applyNumberFormat="1" applyFont="1" applyFill="1" applyBorder="1" applyAlignment="1" applyProtection="1">
      <alignment horizontal="center" vertical="center" wrapText="1"/>
      <protection hidden="1"/>
    </xf>
    <xf numFmtId="187" fontId="37" fillId="0" borderId="25" xfId="39" applyNumberFormat="1" applyFont="1" applyFill="1" applyBorder="1" applyAlignment="1" applyProtection="1">
      <alignment horizontal="center" vertical="center" wrapText="1"/>
      <protection hidden="1"/>
    </xf>
    <xf numFmtId="187" fontId="37" fillId="0" borderId="22" xfId="0" applyNumberFormat="1" applyFont="1" applyBorder="1" applyAlignment="1" applyProtection="1">
      <alignment horizontal="center" vertical="center" wrapText="1"/>
      <protection hidden="1"/>
    </xf>
    <xf numFmtId="187" fontId="37" fillId="0" borderId="25" xfId="0" applyNumberFormat="1" applyFont="1" applyBorder="1" applyAlignment="1" applyProtection="1">
      <alignment horizontal="center" vertical="center" wrapText="1"/>
      <protection hidden="1"/>
    </xf>
    <xf numFmtId="171" fontId="37" fillId="0" borderId="22" xfId="0" applyNumberFormat="1" applyFont="1" applyBorder="1" applyAlignment="1" applyProtection="1">
      <alignment horizontal="center" vertical="center" wrapText="1"/>
      <protection hidden="1"/>
    </xf>
    <xf numFmtId="171" fontId="37" fillId="0" borderId="25" xfId="0" applyNumberFormat="1" applyFont="1" applyBorder="1" applyAlignment="1" applyProtection="1">
      <alignment horizontal="center" vertical="center" wrapText="1"/>
      <protection hidden="1"/>
    </xf>
    <xf numFmtId="37" fontId="37" fillId="0" borderId="22" xfId="37" applyFont="1" applyBorder="1" applyAlignment="1" applyProtection="1">
      <alignment horizontal="center" vertical="center"/>
      <protection hidden="1"/>
    </xf>
    <xf numFmtId="37" fontId="37" fillId="0" borderId="25" xfId="37" applyFont="1" applyBorder="1" applyAlignment="1" applyProtection="1">
      <alignment horizontal="center" vertical="center"/>
      <protection hidden="1"/>
    </xf>
    <xf numFmtId="187" fontId="37" fillId="0" borderId="22" xfId="37" applyNumberFormat="1" applyFont="1" applyBorder="1" applyAlignment="1" applyProtection="1">
      <alignment horizontal="center" vertical="center" wrapText="1"/>
      <protection hidden="1"/>
    </xf>
    <xf numFmtId="187" fontId="37" fillId="0" borderId="25" xfId="37" applyNumberFormat="1" applyFont="1" applyBorder="1" applyAlignment="1" applyProtection="1">
      <alignment horizontal="center" vertical="center" wrapText="1"/>
      <protection hidden="1"/>
    </xf>
    <xf numFmtId="171" fontId="37" fillId="0" borderId="22" xfId="39" applyNumberFormat="1" applyFont="1" applyFill="1" applyBorder="1" applyAlignment="1" applyProtection="1">
      <alignment horizontal="center" vertical="center" wrapText="1"/>
      <protection hidden="1"/>
    </xf>
    <xf numFmtId="171" fontId="37" fillId="0" borderId="25" xfId="39" applyNumberFormat="1" applyFont="1" applyFill="1" applyBorder="1" applyAlignment="1" applyProtection="1">
      <alignment horizontal="center" vertical="center" wrapText="1"/>
      <protection hidden="1"/>
    </xf>
    <xf numFmtId="37" fontId="48" fillId="0" borderId="0" xfId="37" applyFont="1" applyAlignment="1" applyProtection="1">
      <alignment horizontal="center" vertical="center" wrapText="1"/>
      <protection hidden="1"/>
    </xf>
    <xf numFmtId="37" fontId="13" fillId="0" borderId="0" xfId="37" applyFont="1" applyAlignment="1" applyProtection="1">
      <alignment horizontal="center" vertical="center" wrapText="1"/>
      <protection hidden="1"/>
    </xf>
    <xf numFmtId="37" fontId="17" fillId="0" borderId="15" xfId="37" applyFont="1" applyBorder="1" applyAlignment="1" applyProtection="1">
      <alignment horizontal="center" vertical="center" wrapText="1"/>
      <protection hidden="1"/>
    </xf>
    <xf numFmtId="49" fontId="46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17" fillId="0" borderId="27" xfId="37" applyFont="1" applyBorder="1" applyAlignment="1" applyProtection="1">
      <alignment horizontal="center" vertical="center" wrapText="1"/>
      <protection hidden="1"/>
    </xf>
    <xf numFmtId="37" fontId="17" fillId="0" borderId="28" xfId="37" applyFont="1" applyBorder="1" applyAlignment="1" applyProtection="1">
      <alignment horizontal="center" vertical="center" wrapText="1"/>
      <protection hidden="1"/>
    </xf>
    <xf numFmtId="37" fontId="45" fillId="0" borderId="0" xfId="37" applyFont="1" applyAlignment="1" applyProtection="1">
      <alignment horizontal="center" wrapText="1"/>
      <protection hidden="1"/>
    </xf>
    <xf numFmtId="37" fontId="47" fillId="0" borderId="0" xfId="37" applyFont="1" applyAlignment="1" applyProtection="1">
      <alignment horizontal="center" wrapText="1"/>
      <protection hidden="1"/>
    </xf>
    <xf numFmtId="37" fontId="61" fillId="0" borderId="11" xfId="37" applyFont="1" applyBorder="1" applyAlignment="1" applyProtection="1">
      <alignment horizontal="center" vertical="center"/>
      <protection hidden="1"/>
    </xf>
    <xf numFmtId="37" fontId="62" fillId="0" borderId="11" xfId="37" applyFont="1" applyBorder="1" applyAlignment="1" applyProtection="1">
      <alignment horizontal="center" vertical="center"/>
      <protection hidden="1"/>
    </xf>
    <xf numFmtId="37" fontId="61" fillId="0" borderId="11" xfId="37" applyFont="1" applyBorder="1" applyAlignment="1" applyProtection="1">
      <alignment horizontal="center" vertical="center" wrapText="1"/>
      <protection hidden="1"/>
    </xf>
    <xf numFmtId="0" fontId="17" fillId="24" borderId="0" xfId="106" applyFont="1" applyFill="1" applyBorder="1" applyAlignment="1">
      <alignment horizontal="center" vertical="center"/>
    </xf>
    <xf numFmtId="0" fontId="13" fillId="24" borderId="0" xfId="106" applyFill="1" applyAlignment="1">
      <alignment horizontal="center" vertical="center"/>
    </xf>
    <xf numFmtId="0" fontId="57" fillId="25" borderId="0" xfId="112" applyNumberFormat="1" applyFont="1" applyBorder="1" applyAlignment="1">
      <alignment horizontal="center"/>
    </xf>
    <xf numFmtId="49" fontId="58" fillId="0" borderId="0" xfId="118" applyNumberFormat="1" applyFont="1" applyBorder="1" applyAlignment="1">
      <alignment horizontal="center"/>
    </xf>
  </cellXfs>
  <cellStyles count="171">
    <cellStyle name="=C:\WINNT\SYSTEM32\COMMAND.COM" xfId="57"/>
    <cellStyle name="20% - Énfasis1" xfId="1" builtinId="30" customBuiltin="1"/>
    <cellStyle name="20% - Énfasis1 2" xfId="58"/>
    <cellStyle name="20% - Énfasis2" xfId="2" builtinId="34" customBuiltin="1"/>
    <cellStyle name="20% - Énfasis2 2" xfId="59"/>
    <cellStyle name="20% - Énfasis3" xfId="3" builtinId="38" customBuiltin="1"/>
    <cellStyle name="20% - Énfasis3 2" xfId="60"/>
    <cellStyle name="20% - Énfasis4" xfId="4" builtinId="42" customBuiltin="1"/>
    <cellStyle name="20% - Énfasis4 2" xfId="61"/>
    <cellStyle name="20% - Énfasis5" xfId="5" builtinId="46" customBuiltin="1"/>
    <cellStyle name="20% - Énfasis5 2" xfId="62"/>
    <cellStyle name="20% - Énfasis6" xfId="6" builtinId="50" customBuiltin="1"/>
    <cellStyle name="20% - Énfasis6 2" xfId="63"/>
    <cellStyle name="40% - Énfasis1" xfId="7" builtinId="31" customBuiltin="1"/>
    <cellStyle name="40% - Énfasis1 2" xfId="64"/>
    <cellStyle name="40% - Énfasis2" xfId="8" builtinId="35" customBuiltin="1"/>
    <cellStyle name="40% - Énfasis2 2" xfId="65"/>
    <cellStyle name="40% - Énfasis3" xfId="9" builtinId="39" customBuiltin="1"/>
    <cellStyle name="40% - Énfasis3 2" xfId="66"/>
    <cellStyle name="40% - Énfasis4" xfId="10" builtinId="43" customBuiltin="1"/>
    <cellStyle name="40% - Énfasis4 2" xfId="67"/>
    <cellStyle name="40% - Énfasis5" xfId="11" builtinId="47" customBuiltin="1"/>
    <cellStyle name="40% - Énfasis5 2" xfId="68"/>
    <cellStyle name="40% - Énfasis6" xfId="12" builtinId="51" customBuiltin="1"/>
    <cellStyle name="40% - Énfasis6 2" xfId="69"/>
    <cellStyle name="60% - Énfasis1" xfId="13" builtinId="32" customBuiltin="1"/>
    <cellStyle name="60% - Énfasis1 2" xfId="70"/>
    <cellStyle name="60% - Énfasis2" xfId="14" builtinId="36" customBuiltin="1"/>
    <cellStyle name="60% - Énfasis2 2" xfId="71"/>
    <cellStyle name="60% - Énfasis3" xfId="15" builtinId="40" customBuiltin="1"/>
    <cellStyle name="60% - Énfasis3 2" xfId="72"/>
    <cellStyle name="60% - Énfasis4" xfId="16" builtinId="44" customBuiltin="1"/>
    <cellStyle name="60% - Énfasis4 2" xfId="73"/>
    <cellStyle name="60% - Énfasis5" xfId="17" builtinId="48" customBuiltin="1"/>
    <cellStyle name="60% - Énfasis5 2" xfId="74"/>
    <cellStyle name="60% - Énfasis6" xfId="18" builtinId="52" customBuiltin="1"/>
    <cellStyle name="60% - Énfasis6 2" xfId="75"/>
    <cellStyle name="Buena" xfId="19" builtinId="26" customBuiltin="1"/>
    <cellStyle name="Buena 2" xfId="76"/>
    <cellStyle name="Buena 3" xfId="112"/>
    <cellStyle name="Cálculo" xfId="20" builtinId="22" customBuiltin="1"/>
    <cellStyle name="Cálculo 2" xfId="77"/>
    <cellStyle name="Cálculo 3" xfId="120"/>
    <cellStyle name="Celda de comprobación" xfId="21" builtinId="23" customBuiltin="1"/>
    <cellStyle name="Celda de comprobación 2" xfId="78"/>
    <cellStyle name="Celda de comprobación 3" xfId="121"/>
    <cellStyle name="Celda vinculada" xfId="22" builtinId="24" customBuiltin="1"/>
    <cellStyle name="Celda vinculada 2" xfId="79"/>
    <cellStyle name="Encabezado 1" xfId="46" builtinId="16" customBuiltin="1"/>
    <cellStyle name="Encabezado 4" xfId="23" builtinId="19" customBuiltin="1"/>
    <cellStyle name="Encabezado 4 2" xfId="80"/>
    <cellStyle name="Énfasis1" xfId="24" builtinId="29" customBuiltin="1"/>
    <cellStyle name="Énfasis1 2" xfId="81"/>
    <cellStyle name="Énfasis2" xfId="25" builtinId="33" customBuiltin="1"/>
    <cellStyle name="Énfasis2 2" xfId="82"/>
    <cellStyle name="Énfasis3" xfId="26" builtinId="37" customBuiltin="1"/>
    <cellStyle name="Énfasis3 2" xfId="83"/>
    <cellStyle name="Énfasis4" xfId="27" builtinId="41" customBuiltin="1"/>
    <cellStyle name="Énfasis4 2" xfId="84"/>
    <cellStyle name="Énfasis5" xfId="28" builtinId="45" customBuiltin="1"/>
    <cellStyle name="Énfasis5 2" xfId="85"/>
    <cellStyle name="Énfasis6" xfId="29" builtinId="49" customBuiltin="1"/>
    <cellStyle name="Énfasis6 2" xfId="86"/>
    <cellStyle name="Entrada" xfId="30" builtinId="20" customBuiltin="1"/>
    <cellStyle name="Entrada 2" xfId="87"/>
    <cellStyle name="Entrada 3" xfId="122"/>
    <cellStyle name="Euro" xfId="31"/>
    <cellStyle name="Euro 2" xfId="88"/>
    <cellStyle name="Incorrecto" xfId="32" builtinId="27" customBuiltin="1"/>
    <cellStyle name="Incorrecto 2" xfId="89"/>
    <cellStyle name="Millares" xfId="33" builtinId="3"/>
    <cellStyle name="Millares [0] 2" xfId="90"/>
    <cellStyle name="Millares [0] 2 2" xfId="130"/>
    <cellStyle name="Millares [0] 2 3" xfId="140"/>
    <cellStyle name="Millares [0] 2 4" xfId="152"/>
    <cellStyle name="Millares [0] 2 5" xfId="162"/>
    <cellStyle name="Millares [0] 3" xfId="124"/>
    <cellStyle name="Millares [0] 4" xfId="137"/>
    <cellStyle name="Millares [0] 5" xfId="149"/>
    <cellStyle name="Millares [0] 6" xfId="159"/>
    <cellStyle name="Millares 10" xfId="148"/>
    <cellStyle name="Millares 11" xfId="158"/>
    <cellStyle name="Millares 12" xfId="105"/>
    <cellStyle name="Millares 13" xfId="170"/>
    <cellStyle name="Millares 2" xfId="51"/>
    <cellStyle name="Millares 2 2" xfId="54"/>
    <cellStyle name="Millares 2 2 2" xfId="102"/>
    <cellStyle name="Millares 2 2 3" xfId="133"/>
    <cellStyle name="Millares 2 2 4" xfId="143"/>
    <cellStyle name="Millares 2 2 5" xfId="155"/>
    <cellStyle name="Millares 2 2 6" xfId="165"/>
    <cellStyle name="Millares 2 3" xfId="129"/>
    <cellStyle name="Millares 2 4" xfId="139"/>
    <cellStyle name="Millares 2 5" xfId="151"/>
    <cellStyle name="Millares 2 6" xfId="161"/>
    <cellStyle name="Millares 3" xfId="52"/>
    <cellStyle name="Millares 3 2" xfId="128"/>
    <cellStyle name="Millares 3 3" xfId="138"/>
    <cellStyle name="Millares 3 4" xfId="150"/>
    <cellStyle name="Millares 3 5" xfId="160"/>
    <cellStyle name="Millares 4" xfId="110"/>
    <cellStyle name="Millares 5" xfId="114"/>
    <cellStyle name="Millares 5 2" xfId="119"/>
    <cellStyle name="Millares 6" xfId="116"/>
    <cellStyle name="Millares 7" xfId="123"/>
    <cellStyle name="Millares 8" xfId="136"/>
    <cellStyle name="Millares 9" xfId="147"/>
    <cellStyle name="Moneda 2" xfId="111"/>
    <cellStyle name="Moneda 2 2" xfId="135"/>
    <cellStyle name="Moneda 2 3" xfId="145"/>
    <cellStyle name="Moneda 2 4" xfId="157"/>
    <cellStyle name="Moneda 2 5" xfId="167"/>
    <cellStyle name="Neutral" xfId="34" builtinId="28" customBuiltin="1"/>
    <cellStyle name="Neutral 2" xfId="91"/>
    <cellStyle name="Normal" xfId="0" builtinId="0"/>
    <cellStyle name="Normal 10" xfId="146"/>
    <cellStyle name="Normal 11" xfId="168"/>
    <cellStyle name="Normal 2" xfId="35"/>
    <cellStyle name="Normal 2 2" xfId="103"/>
    <cellStyle name="Normal 2 3" xfId="106"/>
    <cellStyle name="Normal 2 4" xfId="108"/>
    <cellStyle name="Normal 2 5" xfId="117"/>
    <cellStyle name="Normal 2 6" xfId="131"/>
    <cellStyle name="Normal 2 7" xfId="141"/>
    <cellStyle name="Normal 2 8" xfId="153"/>
    <cellStyle name="Normal 2 9" xfId="163"/>
    <cellStyle name="Normal 3" xfId="36"/>
    <cellStyle name="Normal 3 2" xfId="134"/>
    <cellStyle name="Normal 3 3" xfId="144"/>
    <cellStyle name="Normal 3 4" xfId="156"/>
    <cellStyle name="Normal 3 5" xfId="166"/>
    <cellStyle name="Normal 4" xfId="53"/>
    <cellStyle name="Normal 5" xfId="101"/>
    <cellStyle name="Normal 6" xfId="104"/>
    <cellStyle name="Normal 7" xfId="109"/>
    <cellStyle name="Normal 8" xfId="113"/>
    <cellStyle name="Normal 8 2" xfId="118"/>
    <cellStyle name="Normal 9" xfId="115"/>
    <cellStyle name="Normal_FGPAGO95" xfId="37"/>
    <cellStyle name="Notas" xfId="38" builtinId="10" customBuiltin="1"/>
    <cellStyle name="Notas 2" xfId="92"/>
    <cellStyle name="Notas 3" xfId="125"/>
    <cellStyle name="PESOS" xfId="39"/>
    <cellStyle name="Porcentaje" xfId="40" builtinId="5"/>
    <cellStyle name="Porcentaje 2" xfId="107"/>
    <cellStyle name="Porcentaje 2 2" xfId="132"/>
    <cellStyle name="Porcentaje 2 3" xfId="142"/>
    <cellStyle name="Porcentaje 2 4" xfId="154"/>
    <cellStyle name="Porcentaje 2 5" xfId="164"/>
    <cellStyle name="Porcentaje 3" xfId="169"/>
    <cellStyle name="Porcentual 2" xfId="41"/>
    <cellStyle name="Porcentual 3" xfId="55"/>
    <cellStyle name="Porcentual 4" xfId="56"/>
    <cellStyle name="Salida" xfId="42" builtinId="21" customBuiltin="1"/>
    <cellStyle name="Salida 2" xfId="93"/>
    <cellStyle name="Salida 3" xfId="126"/>
    <cellStyle name="Texto de advertencia" xfId="43" builtinId="11" customBuiltin="1"/>
    <cellStyle name="Texto de advertencia 2" xfId="94"/>
    <cellStyle name="Texto explicativo" xfId="44" builtinId="53" customBuiltin="1"/>
    <cellStyle name="Texto explicativo 2" xfId="95"/>
    <cellStyle name="Título" xfId="45" builtinId="15" customBuiltin="1"/>
    <cellStyle name="Título 1 2" xfId="96"/>
    <cellStyle name="Título 2" xfId="47" builtinId="17" customBuiltin="1"/>
    <cellStyle name="Título 2 2" xfId="97"/>
    <cellStyle name="Título 3" xfId="48" builtinId="18" customBuiltin="1"/>
    <cellStyle name="Título 3 2" xfId="98"/>
    <cellStyle name="Título 4" xfId="99"/>
    <cellStyle name="Total" xfId="49" builtinId="25" customBuiltin="1"/>
    <cellStyle name="Total 2" xfId="100"/>
    <cellStyle name="Total 3" xfId="127"/>
    <cellStyle name="UDI´s" xfId="5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/>
  </tableStyles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Base%20de%20formatos%202019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PREDIAL2018INFORMACIONCOMPLETARORDEN%20N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ose_pena\AppData\Local\Microsoft\Windows\Temporary%20Internet%20Files\Content.Outlook\2WDT6RRY\alumnos%20promedio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 LLegadas"/>
      <sheetName val="SumP"/>
      <sheetName val="SumA"/>
      <sheetName val="FORMATO 002"/>
      <sheetName val="Formato 001"/>
      <sheetName val="FORMATO 002 (2)"/>
      <sheetName val="datos predial"/>
      <sheetName val="FORMATO 002 (3)"/>
      <sheetName val="FORMATO 009 (3)"/>
      <sheetName val="FORMATO 009 (2)"/>
      <sheetName val="FORMATO 003"/>
      <sheetName val="FORMATO 004"/>
      <sheetName val="FORMATO 004 (2)"/>
      <sheetName val="FORMATO 005"/>
      <sheetName val="FORMATO 006"/>
      <sheetName val="FORMATO 007"/>
      <sheetName val="FORMATO 009"/>
      <sheetName val="FORMATO 008"/>
      <sheetName val="datos agua"/>
      <sheetName val="FORMATO 010"/>
      <sheetName val="FORMATO 011"/>
      <sheetName val="FORMATO 011 (2)"/>
      <sheetName val="FORMATO 012"/>
      <sheetName val="FORMATO 013"/>
      <sheetName val="FORMATO 014"/>
      <sheetName val="Compendio de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Aguascalientes</v>
          </cell>
        </row>
        <row r="3">
          <cell r="C3" t="str">
            <v>Baja California</v>
          </cell>
        </row>
        <row r="4">
          <cell r="C4" t="str">
            <v>Baja California Sur</v>
          </cell>
        </row>
        <row r="5">
          <cell r="C5" t="str">
            <v>Campeche</v>
          </cell>
        </row>
        <row r="6">
          <cell r="C6" t="str">
            <v>Chiapas</v>
          </cell>
        </row>
        <row r="7">
          <cell r="C7" t="str">
            <v>Chihuahua</v>
          </cell>
        </row>
        <row r="8">
          <cell r="C8" t="str">
            <v>Ciudad de México</v>
          </cell>
        </row>
        <row r="9">
          <cell r="C9" t="str">
            <v>Coahuila de Zaragoza</v>
          </cell>
        </row>
        <row r="10">
          <cell r="C10" t="str">
            <v>Colima</v>
          </cell>
        </row>
        <row r="11">
          <cell r="C11" t="str">
            <v>Durango</v>
          </cell>
        </row>
        <row r="12">
          <cell r="C12" t="str">
            <v>Guanajuato</v>
          </cell>
        </row>
        <row r="13">
          <cell r="C13" t="str">
            <v>Guerrero</v>
          </cell>
        </row>
        <row r="14">
          <cell r="C14" t="str">
            <v>Hidalgo</v>
          </cell>
        </row>
        <row r="15">
          <cell r="C15" t="str">
            <v>Jalisco</v>
          </cell>
        </row>
        <row r="16">
          <cell r="C16" t="str">
            <v>México</v>
          </cell>
        </row>
        <row r="17">
          <cell r="C17" t="str">
            <v>Michoacán de Ocampo</v>
          </cell>
        </row>
        <row r="18">
          <cell r="C18" t="str">
            <v>Morelos</v>
          </cell>
        </row>
        <row r="19">
          <cell r="C19" t="str">
            <v>Nayarit</v>
          </cell>
        </row>
        <row r="20">
          <cell r="C20" t="str">
            <v>Nuevo León</v>
          </cell>
        </row>
        <row r="21">
          <cell r="C21" t="str">
            <v>Oaxaca</v>
          </cell>
        </row>
        <row r="22">
          <cell r="C22" t="str">
            <v>Puebla</v>
          </cell>
        </row>
        <row r="23">
          <cell r="C23" t="str">
            <v>Querétaro</v>
          </cell>
        </row>
        <row r="24">
          <cell r="C24" t="str">
            <v>Quintana Roo</v>
          </cell>
        </row>
        <row r="25">
          <cell r="C25" t="str">
            <v>San Luis Potosí</v>
          </cell>
        </row>
        <row r="26">
          <cell r="C26" t="str">
            <v>Sinaloa</v>
          </cell>
        </row>
        <row r="27">
          <cell r="C27" t="str">
            <v>Sonora</v>
          </cell>
        </row>
        <row r="28">
          <cell r="C28" t="str">
            <v>Tabasco</v>
          </cell>
        </row>
        <row r="29">
          <cell r="C29" t="str">
            <v>Tamaulipas</v>
          </cell>
        </row>
        <row r="30">
          <cell r="C30" t="str">
            <v>Tlaxcala</v>
          </cell>
        </row>
        <row r="31">
          <cell r="C31" t="str">
            <v>Veracruz de Ignacio de la Llave</v>
          </cell>
        </row>
        <row r="32">
          <cell r="C32" t="str">
            <v>Yucatán</v>
          </cell>
        </row>
        <row r="33">
          <cell r="C33" t="str">
            <v>Zacatecas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PH - 1-2-3"/>
      <sheetName val="IMPORTE"/>
      <sheetName val="DESCUENTOS"/>
      <sheetName val="NETO"/>
      <sheetName val="EXPEDIENTES"/>
      <sheetName val="fact 2018"/>
      <sheetName val="AÑO ANT"/>
      <sheetName val="COMP NOMINAL"/>
      <sheetName val="COMP %"/>
      <sheetName val="seleccion"/>
      <sheetName val="FACTURACIÓN"/>
    </sheetNames>
    <sheetDataSet>
      <sheetData sheetId="0" refreshError="1"/>
      <sheetData sheetId="1">
        <row r="3">
          <cell r="A3" t="str">
            <v>ABASOLO</v>
          </cell>
        </row>
        <row r="4">
          <cell r="A4" t="str">
            <v>AGUALEGUAS</v>
          </cell>
        </row>
        <row r="5">
          <cell r="A5" t="str">
            <v>ALDAMAS, LOS</v>
          </cell>
        </row>
        <row r="6">
          <cell r="A6" t="str">
            <v>ALLENDE</v>
          </cell>
        </row>
        <row r="7">
          <cell r="A7" t="str">
            <v>ANAHUAC</v>
          </cell>
        </row>
        <row r="8">
          <cell r="A8" t="str">
            <v>APODACA</v>
          </cell>
        </row>
        <row r="9">
          <cell r="A9" t="str">
            <v>ARAMBERRI</v>
          </cell>
        </row>
        <row r="10">
          <cell r="A10" t="str">
            <v>BUSTAMANTE</v>
          </cell>
        </row>
        <row r="11">
          <cell r="A11" t="str">
            <v>CADEREYTA JIMENEZ</v>
          </cell>
        </row>
        <row r="12">
          <cell r="A12" t="str">
            <v>CARMEN</v>
          </cell>
        </row>
        <row r="13">
          <cell r="A13" t="str">
            <v xml:space="preserve">CERRALVO </v>
          </cell>
        </row>
        <row r="14">
          <cell r="A14" t="str">
            <v>CHINA</v>
          </cell>
        </row>
        <row r="15">
          <cell r="A15" t="str">
            <v>CIENEGA DE FLORES</v>
          </cell>
        </row>
        <row r="16">
          <cell r="A16" t="str">
            <v>DOCTOR ARROYO</v>
          </cell>
        </row>
        <row r="17">
          <cell r="A17" t="str">
            <v>DOCTOR COSS</v>
          </cell>
        </row>
        <row r="18">
          <cell r="A18" t="str">
            <v>DOCTOR GONZALEZ</v>
          </cell>
        </row>
        <row r="19">
          <cell r="A19" t="str">
            <v>GALEANA</v>
          </cell>
        </row>
        <row r="20">
          <cell r="A20" t="str">
            <v>GARCIA</v>
          </cell>
        </row>
        <row r="21">
          <cell r="A21" t="str">
            <v>GENERAL BRAVO</v>
          </cell>
        </row>
        <row r="22">
          <cell r="A22" t="str">
            <v>GENERAL ESCOBEDO</v>
          </cell>
        </row>
        <row r="23">
          <cell r="A23" t="str">
            <v>GENERAL TERAN</v>
          </cell>
        </row>
        <row r="24">
          <cell r="A24" t="str">
            <v>GENERAL TREVIÑO</v>
          </cell>
        </row>
        <row r="25">
          <cell r="A25" t="str">
            <v>GENERAL ZARAGOZA</v>
          </cell>
        </row>
        <row r="26">
          <cell r="A26" t="str">
            <v>GENERAL ZUAZUA</v>
          </cell>
        </row>
        <row r="27">
          <cell r="A27" t="str">
            <v>GUADALUPE</v>
          </cell>
        </row>
        <row r="28">
          <cell r="A28" t="str">
            <v>HERRERAS</v>
          </cell>
        </row>
        <row r="29">
          <cell r="A29" t="str">
            <v>HIDALGO</v>
          </cell>
        </row>
        <row r="30">
          <cell r="A30" t="str">
            <v>HIGUERAS</v>
          </cell>
        </row>
        <row r="31">
          <cell r="A31" t="str">
            <v>HUALAHUISES</v>
          </cell>
        </row>
        <row r="32">
          <cell r="A32" t="str">
            <v>ITURBIDE</v>
          </cell>
        </row>
        <row r="33">
          <cell r="A33" t="str">
            <v>JUAREZ</v>
          </cell>
        </row>
        <row r="34">
          <cell r="A34" t="str">
            <v>LAMPAZOS DE NARANJO</v>
          </cell>
        </row>
        <row r="35">
          <cell r="A35" t="str">
            <v>LINARES</v>
          </cell>
        </row>
        <row r="36">
          <cell r="A36" t="str">
            <v>MARIN</v>
          </cell>
        </row>
        <row r="37">
          <cell r="A37" t="str">
            <v>MELCHOR OCAMPO</v>
          </cell>
        </row>
        <row r="38">
          <cell r="A38" t="str">
            <v>MIER Y NORIEGA</v>
          </cell>
        </row>
        <row r="39">
          <cell r="A39" t="str">
            <v>MINA</v>
          </cell>
        </row>
        <row r="40">
          <cell r="A40" t="str">
            <v>MONTEMORELOS</v>
          </cell>
        </row>
        <row r="41">
          <cell r="A41" t="str">
            <v>MONTERREY</v>
          </cell>
        </row>
        <row r="42">
          <cell r="A42" t="str">
            <v>PARAS</v>
          </cell>
        </row>
        <row r="43">
          <cell r="A43" t="str">
            <v>PESQUERIA</v>
          </cell>
        </row>
        <row r="44">
          <cell r="A44" t="str">
            <v>RAMONES</v>
          </cell>
        </row>
        <row r="45">
          <cell r="A45" t="str">
            <v>RAYONES</v>
          </cell>
        </row>
        <row r="46">
          <cell r="A46" t="str">
            <v>SABINAS HIDALGO</v>
          </cell>
        </row>
        <row r="47">
          <cell r="A47" t="str">
            <v>SALINAS VICTORIA</v>
          </cell>
        </row>
        <row r="48">
          <cell r="A48" t="str">
            <v>SAN NICOLAS DE LOS GARZA</v>
          </cell>
        </row>
        <row r="49">
          <cell r="A49" t="str">
            <v>SAN PEDRO GARZA GARCIA</v>
          </cell>
        </row>
        <row r="50">
          <cell r="A50" t="str">
            <v>SANTA CATARINA</v>
          </cell>
        </row>
        <row r="51">
          <cell r="A51" t="str">
            <v>SANTIAGO</v>
          </cell>
        </row>
        <row r="52">
          <cell r="A52" t="str">
            <v>VALLECILLO</v>
          </cell>
        </row>
        <row r="53">
          <cell r="A53" t="str">
            <v>VILLALDAMA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zoomScaleSheetLayoutView="100" workbookViewId="0">
      <selection activeCell="E20" sqref="E20"/>
    </sheetView>
  </sheetViews>
  <sheetFormatPr baseColWidth="10" defaultColWidth="11.42578125" defaultRowHeight="12.75"/>
  <cols>
    <col min="1" max="1" width="59" style="18" customWidth="1"/>
    <col min="2" max="2" width="16.85546875" style="18" customWidth="1"/>
    <col min="3" max="3" width="15.140625" style="18" customWidth="1"/>
    <col min="4" max="6" width="16.85546875" style="18" customWidth="1"/>
    <col min="7" max="7" width="17.140625" style="18" customWidth="1"/>
    <col min="8" max="8" width="13.28515625" style="18" bestFit="1" customWidth="1"/>
    <col min="9" max="9" width="11.42578125" style="18"/>
    <col min="10" max="10" width="17.5703125" style="18" bestFit="1" customWidth="1"/>
    <col min="11" max="11" width="11.42578125" style="18"/>
    <col min="12" max="12" width="14.85546875" style="18" bestFit="1" customWidth="1"/>
    <col min="13" max="16384" width="11.42578125" style="18"/>
  </cols>
  <sheetData>
    <row r="1" spans="1:12" ht="18.75" customHeight="1">
      <c r="A1" s="215" t="s">
        <v>188</v>
      </c>
      <c r="B1" s="215"/>
      <c r="C1" s="215"/>
      <c r="D1" s="215"/>
      <c r="E1" s="215"/>
      <c r="F1" s="215"/>
    </row>
    <row r="3" spans="1:12" ht="25.5">
      <c r="A3" s="127" t="s">
        <v>83</v>
      </c>
      <c r="B3" s="128" t="s">
        <v>36</v>
      </c>
      <c r="C3" s="128" t="s">
        <v>84</v>
      </c>
      <c r="D3" s="128" t="s">
        <v>93</v>
      </c>
      <c r="E3" s="128" t="s">
        <v>162</v>
      </c>
      <c r="F3" s="129" t="s">
        <v>163</v>
      </c>
    </row>
    <row r="4" spans="1:12" ht="25.5" customHeight="1">
      <c r="A4" s="119" t="s">
        <v>85</v>
      </c>
      <c r="B4" s="120">
        <v>48767683812</v>
      </c>
      <c r="C4" s="121">
        <v>20</v>
      </c>
      <c r="D4" s="121">
        <f>+C4/100*B4</f>
        <v>9753536762.3999996</v>
      </c>
      <c r="E4" s="121">
        <v>6575127028.2700005</v>
      </c>
      <c r="F4" s="122">
        <f>+D4-E4</f>
        <v>3178409734.1299992</v>
      </c>
      <c r="H4" s="60"/>
    </row>
    <row r="5" spans="1:12" ht="25.5" customHeight="1">
      <c r="A5" s="119" t="s">
        <v>100</v>
      </c>
      <c r="B5" s="120">
        <v>1410903132</v>
      </c>
      <c r="C5" s="121">
        <v>100</v>
      </c>
      <c r="D5" s="121">
        <f t="shared" ref="D5:D9" si="0">+C5/100*B5</f>
        <v>1410903132</v>
      </c>
      <c r="E5" s="121">
        <v>897976680.16000021</v>
      </c>
      <c r="F5" s="122">
        <f t="shared" ref="F5:F9" si="1">+D5-E5</f>
        <v>512926451.83999979</v>
      </c>
      <c r="G5" s="144"/>
      <c r="H5" s="60"/>
      <c r="J5" s="38"/>
    </row>
    <row r="6" spans="1:12" ht="25.5" customHeight="1">
      <c r="A6" s="119" t="s">
        <v>86</v>
      </c>
      <c r="B6" s="120">
        <v>1630357816</v>
      </c>
      <c r="C6" s="121">
        <v>20</v>
      </c>
      <c r="D6" s="121">
        <f t="shared" si="0"/>
        <v>326071563.20000005</v>
      </c>
      <c r="E6" s="121">
        <v>220792307.32999998</v>
      </c>
      <c r="F6" s="122">
        <f t="shared" si="1"/>
        <v>105279255.87000006</v>
      </c>
      <c r="J6" s="38"/>
      <c r="L6" s="59"/>
    </row>
    <row r="7" spans="1:12" ht="25.5" customHeight="1">
      <c r="A7" s="119" t="s">
        <v>92</v>
      </c>
      <c r="B7" s="120">
        <v>3435522663</v>
      </c>
      <c r="C7" s="121">
        <v>20</v>
      </c>
      <c r="D7" s="121">
        <f t="shared" si="0"/>
        <v>687104532.60000002</v>
      </c>
      <c r="E7" s="121">
        <v>372200568.05000001</v>
      </c>
      <c r="F7" s="122">
        <f t="shared" si="1"/>
        <v>314903964.55000001</v>
      </c>
      <c r="G7" s="60"/>
      <c r="J7" s="38"/>
    </row>
    <row r="8" spans="1:12" ht="25.5" customHeight="1">
      <c r="A8" s="119" t="s">
        <v>96</v>
      </c>
      <c r="B8" s="120">
        <v>1618579022</v>
      </c>
      <c r="C8" s="121">
        <v>20</v>
      </c>
      <c r="D8" s="121">
        <f t="shared" si="0"/>
        <v>323715804.40000004</v>
      </c>
      <c r="E8" s="121">
        <v>183055003.22</v>
      </c>
      <c r="F8" s="122">
        <f t="shared" si="1"/>
        <v>140660801.18000004</v>
      </c>
    </row>
    <row r="9" spans="1:12" ht="25.5" customHeight="1">
      <c r="A9" s="119" t="s">
        <v>95</v>
      </c>
      <c r="B9" s="120">
        <v>247353192</v>
      </c>
      <c r="C9" s="121">
        <v>20</v>
      </c>
      <c r="D9" s="121">
        <f t="shared" si="0"/>
        <v>49470638.400000006</v>
      </c>
      <c r="E9" s="121">
        <v>39228897.590000004</v>
      </c>
      <c r="F9" s="122">
        <f t="shared" si="1"/>
        <v>10241740.810000002</v>
      </c>
    </row>
    <row r="10" spans="1:12" ht="25.5" customHeight="1">
      <c r="A10" s="130" t="s">
        <v>169</v>
      </c>
      <c r="B10" s="131">
        <f>SUM(B4:B9)</f>
        <v>57110399637</v>
      </c>
      <c r="C10" s="132"/>
      <c r="D10" s="133">
        <f>SUM(D4:D9)</f>
        <v>12550802433</v>
      </c>
      <c r="E10" s="133">
        <f>SUM(E4:E9)</f>
        <v>8288380484.6200008</v>
      </c>
      <c r="F10" s="134">
        <f>SUM(F4:F9)</f>
        <v>4262421948.3799987</v>
      </c>
    </row>
    <row r="11" spans="1:12" ht="25.5" customHeight="1">
      <c r="A11" s="119" t="s">
        <v>99</v>
      </c>
      <c r="B11" s="120">
        <v>514903884</v>
      </c>
      <c r="C11" s="121">
        <v>100</v>
      </c>
      <c r="D11" s="121">
        <f>+C11/100*B11</f>
        <v>514903884</v>
      </c>
      <c r="E11" s="121"/>
      <c r="F11" s="122"/>
    </row>
    <row r="12" spans="1:12" ht="25.5" customHeight="1">
      <c r="A12" s="119" t="s">
        <v>91</v>
      </c>
      <c r="B12" s="120">
        <v>1691049980</v>
      </c>
      <c r="C12" s="121">
        <v>20</v>
      </c>
      <c r="D12" s="121">
        <f>+C12/100*B12</f>
        <v>338209996</v>
      </c>
      <c r="E12" s="121"/>
      <c r="F12" s="122"/>
    </row>
    <row r="13" spans="1:12" ht="25.5" customHeight="1">
      <c r="A13" s="119" t="s">
        <v>170</v>
      </c>
      <c r="B13" s="120">
        <v>1238015664</v>
      </c>
      <c r="C13" s="121">
        <v>20</v>
      </c>
      <c r="D13" s="121">
        <f t="shared" ref="D13" si="2">+C13/100*B13</f>
        <v>247603132.80000001</v>
      </c>
      <c r="E13" s="121"/>
      <c r="F13" s="122"/>
    </row>
    <row r="14" spans="1:12" ht="25.5" customHeight="1">
      <c r="A14" s="130" t="s">
        <v>169</v>
      </c>
      <c r="B14" s="131">
        <f t="shared" ref="B14" si="3">SUM(B11:B13)</f>
        <v>3443969528</v>
      </c>
      <c r="C14" s="132"/>
      <c r="D14" s="133">
        <f>SUM(D11:D13)</f>
        <v>1100717012.8</v>
      </c>
      <c r="E14" s="133"/>
      <c r="F14" s="134"/>
    </row>
    <row r="15" spans="1:12" ht="21.75" customHeight="1">
      <c r="A15" s="123" t="s">
        <v>36</v>
      </c>
      <c r="B15" s="124">
        <f t="shared" ref="B15" si="4">SUM(B14,B10)</f>
        <v>60554369165</v>
      </c>
      <c r="C15" s="125"/>
      <c r="D15" s="125">
        <f>SUM(D14,D10)</f>
        <v>13651519445.799999</v>
      </c>
      <c r="E15" s="125">
        <f>SUM(E14,E10)</f>
        <v>8288380484.6200008</v>
      </c>
      <c r="F15" s="126">
        <f>SUM(F14,F10)</f>
        <v>4262421948.3799987</v>
      </c>
    </row>
    <row r="16" spans="1:12">
      <c r="A16" s="19"/>
      <c r="B16" s="19"/>
      <c r="C16" s="20"/>
      <c r="D16" s="21"/>
      <c r="E16" s="20"/>
    </row>
    <row r="17" spans="1:3">
      <c r="B17" s="60"/>
    </row>
    <row r="21" spans="1:3">
      <c r="A21" s="39"/>
      <c r="B21" s="39"/>
      <c r="C21" s="41"/>
    </row>
    <row r="22" spans="1:3">
      <c r="A22" s="40"/>
      <c r="B22" s="38"/>
      <c r="C22" s="42"/>
    </row>
  </sheetData>
  <mergeCells count="1">
    <mergeCell ref="A1:F1"/>
  </mergeCells>
  <pageMargins left="0.51181102362204722" right="0.51181102362204722" top="0.74803149606299213" bottom="0.74803149606299213" header="0.31496062992125984" footer="0.31496062992125984"/>
  <pageSetup scale="90" orientation="landscape" r:id="rId1"/>
  <headerFooter>
    <oddHeader>&amp;LANEXO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tabSelected="1" zoomScale="110" zoomScaleNormal="110" zoomScaleSheetLayoutView="100" workbookViewId="0">
      <selection activeCell="K7" sqref="K7"/>
    </sheetView>
  </sheetViews>
  <sheetFormatPr baseColWidth="10" defaultColWidth="11.42578125" defaultRowHeight="12.75"/>
  <cols>
    <col min="1" max="1" width="4.85546875" style="22" customWidth="1"/>
    <col min="2" max="2" width="29.85546875" style="22" customWidth="1"/>
    <col min="3" max="3" width="15.42578125" style="47" customWidth="1"/>
    <col min="4" max="5" width="15.42578125" style="49" customWidth="1"/>
    <col min="6" max="6" width="15.42578125" style="37" customWidth="1"/>
    <col min="7" max="7" width="15.42578125" style="22" customWidth="1"/>
    <col min="8" max="12" width="15.42578125" style="37" customWidth="1"/>
    <col min="13" max="16384" width="11.42578125" style="22"/>
  </cols>
  <sheetData>
    <row r="1" spans="1:12" ht="12.75" customHeight="1">
      <c r="B1" s="216" t="s">
        <v>173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12.75" customHeight="1">
      <c r="B2" s="216" t="s">
        <v>189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2" ht="47.25" customHeight="1">
      <c r="B4" s="140" t="s">
        <v>139</v>
      </c>
      <c r="C4" s="141" t="s">
        <v>140</v>
      </c>
      <c r="D4" s="142" t="s">
        <v>141</v>
      </c>
      <c r="E4" s="142" t="s">
        <v>142</v>
      </c>
      <c r="F4" s="142" t="s">
        <v>143</v>
      </c>
      <c r="G4" s="142" t="s">
        <v>144</v>
      </c>
      <c r="H4" s="142" t="s">
        <v>145</v>
      </c>
      <c r="I4" s="142" t="s">
        <v>146</v>
      </c>
      <c r="J4" s="142" t="s">
        <v>196</v>
      </c>
      <c r="K4" s="142" t="s">
        <v>195</v>
      </c>
      <c r="L4" s="143" t="s">
        <v>138</v>
      </c>
    </row>
    <row r="5" spans="1:12">
      <c r="A5" s="69">
        <v>15</v>
      </c>
      <c r="B5" s="135" t="s">
        <v>1</v>
      </c>
      <c r="C5" s="44">
        <f>ROUND(+IF('PART 2025'!$F$4&lt;1,'PISO 2021'!Q5*'PART 2025'!$D$4,'PISO 2021'!J5+Copete!C5),2)</f>
        <v>10729832.449999999</v>
      </c>
      <c r="D5" s="44">
        <f>ROUND(+IF('PART 2025'!$F$5&lt;1,'PISO 2021'!Q5*'PART 2025'!$D$5,'PISO 2021'!K5+Copete!D5),2)</f>
        <v>1521781.14</v>
      </c>
      <c r="E5" s="44">
        <f>ROUND('Art.14 Frac.III'!O5,2)</f>
        <v>9130209.9600000009</v>
      </c>
      <c r="F5" s="44">
        <f>ROUND(+IF('PART 2025'!$F$6&lt;1,'PISO 2021'!Q5*'PART 2025'!$D$6,'PISO 2021'!L5+Copete!E5),2)</f>
        <v>359268.92</v>
      </c>
      <c r="G5" s="44">
        <f>ROUND(+IF('PART 2025'!$F$7&lt;1,'PISO 2021'!Q5*'PART 2025'!$D$7,'PISO 2021'!M5+Copete!F5),2)</f>
        <v>703924.9</v>
      </c>
      <c r="H5" s="44">
        <f>ROUND(+IF('PART 2025'!$F$8&lt;1,'PISO 2021'!Q5*'PART 2025'!$D$8,'PISO 2021'!N5+Copete!G5),2)</f>
        <v>336036.94</v>
      </c>
      <c r="I5" s="44">
        <f>ROUND(+IF('PART 2025'!$F$9&lt;1,'PISO 2021'!Q5*'PART 2025'!$D$9,'PISO 2021'!O5+Copete!H5),2)</f>
        <v>57779.48</v>
      </c>
      <c r="J5" s="44">
        <f>ROUND('COEF Art 14 F II'!K7,2)</f>
        <v>193904.7</v>
      </c>
      <c r="K5" s="44">
        <f>ROUND('ISR BI'!E4,2)</f>
        <v>49181.35</v>
      </c>
      <c r="L5" s="136">
        <f>SUM(C5:K5)</f>
        <v>23081919.840000004</v>
      </c>
    </row>
    <row r="6" spans="1:12">
      <c r="A6" s="69">
        <v>11</v>
      </c>
      <c r="B6" s="135" t="s">
        <v>2</v>
      </c>
      <c r="C6" s="44">
        <f>ROUND(+IF('PART 2025'!$F$4&lt;1,'PISO 2021'!Q6*'PART 2025'!$D$4,'PISO 2021'!J6+Copete!C6),2)</f>
        <v>20313129.469999999</v>
      </c>
      <c r="D6" s="44">
        <f>ROUND(+IF('PART 2025'!$F$5&lt;1,'PISO 2021'!Q6*'PART 2025'!$D$5,'PISO 2021'!K6+Copete!D6),2)</f>
        <v>2874489.91</v>
      </c>
      <c r="E6" s="44">
        <f>ROUND('Art.14 Frac.III'!O6,2)</f>
        <v>8934507.4000000004</v>
      </c>
      <c r="F6" s="44">
        <f>ROUND(+IF('PART 2025'!$F$6&lt;1,'PISO 2021'!Q6*'PART 2025'!$D$6,'PISO 2021'!L6+Copete!E6),2)</f>
        <v>680267.16</v>
      </c>
      <c r="G6" s="44">
        <f>ROUND(+IF('PART 2025'!$F$7&lt;1,'PISO 2021'!Q6*'PART 2025'!$D$7,'PISO 2021'!M6+Copete!F6),2)</f>
        <v>1321568.1100000001</v>
      </c>
      <c r="H6" s="44">
        <f>ROUND(+IF('PART 2025'!$F$8&lt;1,'PISO 2021'!Q6*'PART 2025'!$D$8,'PISO 2021'!N6+Copete!G6),2)</f>
        <v>631890.37</v>
      </c>
      <c r="I6" s="44">
        <f>ROUND(+IF('PART 2025'!$F$9&lt;1,'PISO 2021'!Q6*'PART 2025'!$D$9,'PISO 2021'!O6+Copete!H6),2)</f>
        <v>110099.8</v>
      </c>
      <c r="J6" s="44">
        <f>ROUND('COEF Art 14 F II'!K8,2)</f>
        <v>280365.8</v>
      </c>
      <c r="K6" s="44">
        <f>ROUND('ISR BI'!E5,2)</f>
        <v>41225.39</v>
      </c>
      <c r="L6" s="136">
        <f t="shared" ref="L6:L55" si="0">SUM(C6:K6)</f>
        <v>35187543.409999996</v>
      </c>
    </row>
    <row r="7" spans="1:12">
      <c r="A7" s="69">
        <v>12</v>
      </c>
      <c r="B7" s="135" t="s">
        <v>132</v>
      </c>
      <c r="C7" s="44">
        <f>ROUND(+IF('PART 2025'!$F$4&lt;1,'PISO 2021'!Q7*'PART 2025'!$D$4,'PISO 2021'!J7+Copete!C7),2)</f>
        <v>22137902.559999999</v>
      </c>
      <c r="D7" s="44">
        <f>ROUND(+IF('PART 2025'!$F$5&lt;1,'PISO 2021'!Q7*'PART 2025'!$D$5,'PISO 2021'!K7+Copete!D7),2)</f>
        <v>3149042.99</v>
      </c>
      <c r="E7" s="44">
        <f>ROUND('Art.14 Frac.III'!O7,2)</f>
        <v>3484441.6</v>
      </c>
      <c r="F7" s="44">
        <f>ROUND(+IF('PART 2025'!$F$6&lt;1,'PISO 2021'!Q7*'PART 2025'!$D$6,'PISO 2021'!L7+Copete!E7),2)</f>
        <v>741076.41</v>
      </c>
      <c r="G7" s="44">
        <f>ROUND(+IF('PART 2025'!$F$7&lt;1,'PISO 2021'!Q7*'PART 2025'!$D$7,'PISO 2021'!M7+Copete!F7),2)</f>
        <v>1468246.55</v>
      </c>
      <c r="H7" s="44">
        <f>ROUND(+IF('PART 2025'!$F$8&lt;1,'PISO 2021'!Q7*'PART 2025'!$D$8,'PISO 2021'!N7+Copete!G7),2)</f>
        <v>699460.95</v>
      </c>
      <c r="I7" s="44">
        <f>ROUND(+IF('PART 2025'!$F$9&lt;1,'PISO 2021'!Q7*'PART 2025'!$D$9,'PISO 2021'!O7+Copete!H7),2)</f>
        <v>118183.81</v>
      </c>
      <c r="J7" s="44">
        <f>ROUND('COEF Art 14 F II'!K9,2)</f>
        <v>218252.99</v>
      </c>
      <c r="K7" s="44">
        <f>ROUND('ISR BI'!E6,2)</f>
        <v>2350.08</v>
      </c>
      <c r="L7" s="136">
        <f t="shared" si="0"/>
        <v>32018957.939999994</v>
      </c>
    </row>
    <row r="8" spans="1:12">
      <c r="A8" s="69">
        <v>13</v>
      </c>
      <c r="B8" s="135" t="s">
        <v>3</v>
      </c>
      <c r="C8" s="44">
        <f>ROUND(+IF('PART 2025'!$F$4&lt;1,'PISO 2021'!Q8*'PART 2025'!$D$4,'PISO 2021'!J8+Copete!C8),2)</f>
        <v>65774831.390000001</v>
      </c>
      <c r="D8" s="44">
        <f>ROUND(+IF('PART 2025'!$F$5&lt;1,'PISO 2021'!Q8*'PART 2025'!$D$5,'PISO 2021'!K8+Copete!D8),2)</f>
        <v>9446241.5099999998</v>
      </c>
      <c r="E8" s="44">
        <f>ROUND('Art.14 Frac.III'!O8,2)</f>
        <v>9386334.5800000001</v>
      </c>
      <c r="F8" s="44">
        <f>ROUND(+IF('PART 2025'!$F$6&lt;1,'PISO 2021'!Q8*'PART 2025'!$D$6,'PISO 2021'!L8+Copete!E8),2)</f>
        <v>2200185.83</v>
      </c>
      <c r="G8" s="44">
        <f>ROUND(+IF('PART 2025'!$F$7&lt;1,'PISO 2021'!Q8*'PART 2025'!$D$7,'PISO 2021'!M8+Copete!F8),2)</f>
        <v>4516430.57</v>
      </c>
      <c r="H8" s="44">
        <f>ROUND(+IF('PART 2025'!$F$8&lt;1,'PISO 2021'!Q8*'PART 2025'!$D$8,'PISO 2021'!N8+Copete!G8),2)</f>
        <v>2137744.11</v>
      </c>
      <c r="I8" s="44">
        <f>ROUND(+IF('PART 2025'!$F$9&lt;1,'PISO 2021'!Q8*'PART 2025'!$D$9,'PISO 2021'!O8+Copete!H8),2)</f>
        <v>341186.5</v>
      </c>
      <c r="J8" s="44">
        <f>ROUND('COEF Art 14 F II'!K10,2)</f>
        <v>1975624.79</v>
      </c>
      <c r="K8" s="44">
        <f>ROUND('ISR BI'!E7,2)</f>
        <v>2072941.2</v>
      </c>
      <c r="L8" s="136">
        <f t="shared" si="0"/>
        <v>97851520.480000004</v>
      </c>
    </row>
    <row r="9" spans="1:12">
      <c r="A9" s="69">
        <v>14</v>
      </c>
      <c r="B9" s="135" t="s">
        <v>133</v>
      </c>
      <c r="C9" s="44">
        <f>ROUND(+IF('PART 2025'!$F$4&lt;1,'PISO 2021'!Q9*'PART 2025'!$D$4,'PISO 2021'!J9+Copete!C9),2)</f>
        <v>75328742.230000004</v>
      </c>
      <c r="D9" s="44">
        <f>ROUND(+IF('PART 2025'!$F$5&lt;1,'PISO 2021'!Q9*'PART 2025'!$D$5,'PISO 2021'!K9+Copete!D9),2)</f>
        <v>10689682.289999999</v>
      </c>
      <c r="E9" s="44">
        <f>ROUND('Art.14 Frac.III'!O9,2)</f>
        <v>2830570</v>
      </c>
      <c r="F9" s="44">
        <f>ROUND(+IF('PART 2025'!$F$6&lt;1,'PISO 2021'!Q9*'PART 2025'!$D$6,'PISO 2021'!L9+Copete!E9),2)</f>
        <v>2522134.9900000002</v>
      </c>
      <c r="G9" s="44">
        <f>ROUND(+IF('PART 2025'!$F$7&lt;1,'PISO 2021'!Q9*'PART 2025'!$D$7,'PISO 2021'!M9+Copete!F9),2)</f>
        <v>4952215.3899999997</v>
      </c>
      <c r="H9" s="44">
        <f>ROUND(+IF('PART 2025'!$F$8&lt;1,'PISO 2021'!Q9*'PART 2025'!$D$8,'PISO 2021'!N9+Copete!G9),2)</f>
        <v>2363132.1800000002</v>
      </c>
      <c r="I9" s="44">
        <f>ROUND(+IF('PART 2025'!$F$9&lt;1,'PISO 2021'!Q9*'PART 2025'!$D$9,'PISO 2021'!O9+Copete!H9),2)</f>
        <v>404974.2</v>
      </c>
      <c r="J9" s="44">
        <f>ROUND('COEF Art 14 F II'!K11,2)</f>
        <v>1206630.1399999999</v>
      </c>
      <c r="K9" s="44">
        <f>ROUND('ISR BI'!E8,2)</f>
        <v>193190.68</v>
      </c>
      <c r="L9" s="136">
        <f t="shared" si="0"/>
        <v>100491272.10000002</v>
      </c>
    </row>
    <row r="10" spans="1:12">
      <c r="A10" s="69">
        <v>17</v>
      </c>
      <c r="B10" s="135" t="s">
        <v>4</v>
      </c>
      <c r="C10" s="44">
        <f>ROUND(+IF('PART 2025'!$F$4&lt;1,'PISO 2021'!Q10*'PART 2025'!$D$4,'PISO 2021'!J10+Copete!C10),2)</f>
        <v>672021222.89999998</v>
      </c>
      <c r="D10" s="44">
        <f>ROUND(+IF('PART 2025'!$F$5&lt;1,'PISO 2021'!Q10*'PART 2025'!$D$5,'PISO 2021'!K10+Copete!D10),2)</f>
        <v>98378467.829999998</v>
      </c>
      <c r="E10" s="44">
        <f>ROUND('Art.14 Frac.III'!O10,2)</f>
        <v>20937864.039999999</v>
      </c>
      <c r="F10" s="44">
        <f>ROUND(+IF('PART 2025'!$F$6&lt;1,'PISO 2021'!Q10*'PART 2025'!$D$6,'PISO 2021'!L10+Copete!E10),2)</f>
        <v>22444933.800000001</v>
      </c>
      <c r="G10" s="44">
        <f>ROUND(+IF('PART 2025'!$F$7&lt;1,'PISO 2021'!Q10*'PART 2025'!$D$7,'PISO 2021'!M10+Copete!F10),2)</f>
        <v>49339358.75</v>
      </c>
      <c r="H10" s="44">
        <f>ROUND(+IF('PART 2025'!$F$8&lt;1,'PISO 2021'!Q10*'PART 2025'!$D$8,'PISO 2021'!N10+Copete!G10),2)</f>
        <v>23076226.73</v>
      </c>
      <c r="I10" s="44">
        <f>ROUND(+IF('PART 2025'!$F$9&lt;1,'PISO 2021'!Q10*'PART 2025'!$D$9,'PISO 2021'!O10+Copete!H10),2)</f>
        <v>3279466.32</v>
      </c>
      <c r="J10" s="44">
        <f>ROUND('COEF Art 14 F II'!K12,2)</f>
        <v>35642305.100000001</v>
      </c>
      <c r="K10" s="44">
        <f>ROUND('ISR BI'!E9,2)</f>
        <v>27864511.16</v>
      </c>
      <c r="L10" s="136">
        <f t="shared" si="0"/>
        <v>952984356.63</v>
      </c>
    </row>
    <row r="11" spans="1:12">
      <c r="A11" s="69">
        <v>16</v>
      </c>
      <c r="B11" s="135" t="s">
        <v>5</v>
      </c>
      <c r="C11" s="44">
        <f>ROUND(+IF('PART 2025'!$F$4&lt;1,'PISO 2021'!Q11*'PART 2025'!$D$4,'PISO 2021'!J11+Copete!C11),2)</f>
        <v>82325318.409999996</v>
      </c>
      <c r="D11" s="44">
        <f>ROUND(+IF('PART 2025'!$F$5&lt;1,'PISO 2021'!Q11*'PART 2025'!$D$5,'PISO 2021'!K11+Copete!D11),2)</f>
        <v>11611224.27</v>
      </c>
      <c r="E11" s="44">
        <f>ROUND('Art.14 Frac.III'!O11,2)</f>
        <v>9076126.2699999996</v>
      </c>
      <c r="F11" s="44">
        <f>ROUND(+IF('PART 2025'!$F$6&lt;1,'PISO 2021'!Q11*'PART 2025'!$D$6,'PISO 2021'!L11+Copete!E11),2)</f>
        <v>2757705.33</v>
      </c>
      <c r="G11" s="44">
        <f>ROUND(+IF('PART 2025'!$F$7&lt;1,'PISO 2021'!Q11*'PART 2025'!$D$7,'PISO 2021'!M11+Copete!F11),2)</f>
        <v>5290077.84</v>
      </c>
      <c r="H11" s="44">
        <f>ROUND(+IF('PART 2025'!$F$8&lt;1,'PISO 2021'!Q11*'PART 2025'!$D$8,'PISO 2021'!N11+Copete!G11),2)</f>
        <v>2535427.4700000002</v>
      </c>
      <c r="I11" s="44">
        <f>ROUND(+IF('PART 2025'!$F$9&lt;1,'PISO 2021'!Q11*'PART 2025'!$D$9,'PISO 2021'!O11+Copete!H11),2)</f>
        <v>450477.67</v>
      </c>
      <c r="J11" s="44">
        <f>ROUND('COEF Art 14 F II'!K13,2)</f>
        <v>1046522.87</v>
      </c>
      <c r="K11" s="44">
        <f>ROUND('ISR BI'!E10,2)</f>
        <v>5025.8599999999997</v>
      </c>
      <c r="L11" s="136">
        <f t="shared" si="0"/>
        <v>115097905.98999999</v>
      </c>
    </row>
    <row r="12" spans="1:12">
      <c r="A12" s="69">
        <v>18</v>
      </c>
      <c r="B12" s="135" t="s">
        <v>6</v>
      </c>
      <c r="C12" s="44">
        <f>ROUND(+IF('PART 2025'!$F$4&lt;1,'PISO 2021'!Q12*'PART 2025'!$D$4,'PISO 2021'!J12+Copete!C12),2)</f>
        <v>14869303.699999999</v>
      </c>
      <c r="D12" s="44">
        <f>ROUND(+IF('PART 2025'!$F$5&lt;1,'PISO 2021'!Q12*'PART 2025'!$D$5,'PISO 2021'!K12+Copete!D12),2)</f>
        <v>2133361.12</v>
      </c>
      <c r="E12" s="44">
        <f>ROUND('Art.14 Frac.III'!O12,2)</f>
        <v>6277923.9199999999</v>
      </c>
      <c r="F12" s="44">
        <f>ROUND(+IF('PART 2025'!$F$6&lt;1,'PISO 2021'!Q12*'PART 2025'!$D$6,'PISO 2021'!L12+Copete!E12),2)</f>
        <v>497420.72</v>
      </c>
      <c r="G12" s="44">
        <f>ROUND(+IF('PART 2025'!$F$7&lt;1,'PISO 2021'!Q12*'PART 2025'!$D$7,'PISO 2021'!M12+Copete!F12),2)</f>
        <v>1017420.58</v>
      </c>
      <c r="H12" s="44">
        <f>ROUND(+IF('PART 2025'!$F$8&lt;1,'PISO 2021'!Q12*'PART 2025'!$D$8,'PISO 2021'!N12+Copete!G12),2)</f>
        <v>481882.49</v>
      </c>
      <c r="I12" s="44">
        <f>ROUND(+IF('PART 2025'!$F$9&lt;1,'PISO 2021'!Q12*'PART 2025'!$D$9,'PISO 2021'!O12+Copete!H12),2)</f>
        <v>77361.240000000005</v>
      </c>
      <c r="J12" s="44">
        <f>ROUND('COEF Art 14 F II'!K14,2)</f>
        <v>274699.03000000003</v>
      </c>
      <c r="K12" s="44">
        <f>ROUND('ISR BI'!E11,2)</f>
        <v>67133.899999999994</v>
      </c>
      <c r="L12" s="136">
        <f t="shared" si="0"/>
        <v>25696506.699999996</v>
      </c>
    </row>
    <row r="13" spans="1:12">
      <c r="A13" s="69">
        <v>19</v>
      </c>
      <c r="B13" s="135" t="s">
        <v>117</v>
      </c>
      <c r="C13" s="44">
        <f>ROUND(+IF('PART 2025'!$F$4&lt;1,'PISO 2021'!Q13*'PART 2025'!$D$4,'PISO 2021'!J13+Copete!C13),2)</f>
        <v>147081179.69999999</v>
      </c>
      <c r="D13" s="44">
        <f>ROUND(+IF('PART 2025'!$F$5&lt;1,'PISO 2021'!Q13*'PART 2025'!$D$5,'PISO 2021'!K13+Copete!D13),2)</f>
        <v>21089413.629999999</v>
      </c>
      <c r="E13" s="44">
        <f>ROUND('Art.14 Frac.III'!O13,2)</f>
        <v>6419697.8099999996</v>
      </c>
      <c r="F13" s="44">
        <f>ROUND(+IF('PART 2025'!$F$6&lt;1,'PISO 2021'!Q13*'PART 2025'!$D$6,'PISO 2021'!L13+Copete!E13),2)</f>
        <v>4920524.12</v>
      </c>
      <c r="G13" s="44">
        <f>ROUND(+IF('PART 2025'!$F$7&lt;1,'PISO 2021'!Q13*'PART 2025'!$D$7,'PISO 2021'!M13+Copete!F13),2)</f>
        <v>10041766.460000001</v>
      </c>
      <c r="H13" s="44">
        <f>ROUND(+IF('PART 2025'!$F$8&lt;1,'PISO 2021'!Q13*'PART 2025'!$D$8,'PISO 2021'!N13+Copete!G13),2)</f>
        <v>4758027.04</v>
      </c>
      <c r="I13" s="44">
        <f>ROUND(+IF('PART 2025'!$F$9&lt;1,'PISO 2021'!Q13*'PART 2025'!$D$9,'PISO 2021'!O13+Copete!H13),2)</f>
        <v>766657.4</v>
      </c>
      <c r="J13" s="44">
        <f>ROUND('COEF Art 14 F II'!K15,2)</f>
        <v>6382188.3099999996</v>
      </c>
      <c r="K13" s="44">
        <f>ROUND('ISR BI'!E12,2)</f>
        <v>2534007.36</v>
      </c>
      <c r="L13" s="136">
        <f t="shared" si="0"/>
        <v>203993461.83000001</v>
      </c>
    </row>
    <row r="14" spans="1:12">
      <c r="A14" s="69">
        <v>20</v>
      </c>
      <c r="B14" s="135" t="s">
        <v>118</v>
      </c>
      <c r="C14" s="44">
        <f>ROUND(+IF('PART 2025'!$F$4&lt;1,'PISO 2021'!Q14*'PART 2025'!$D$4,'PISO 2021'!J14+Copete!C14),2)</f>
        <v>53303100.990000002</v>
      </c>
      <c r="D14" s="44">
        <f>ROUND(+IF('PART 2025'!$F$5&lt;1,'PISO 2021'!Q14*'PART 2025'!$D$5,'PISO 2021'!K14+Copete!D14),2)</f>
        <v>8143788.6299999999</v>
      </c>
      <c r="E14" s="44">
        <f>ROUND('Art.14 Frac.III'!O14,2)</f>
        <v>19080115.800000001</v>
      </c>
      <c r="F14" s="44">
        <f>ROUND(+IF('PART 2025'!$F$6&lt;1,'PISO 2021'!Q14*'PART 2025'!$D$6,'PISO 2021'!L14+Copete!E14),2)</f>
        <v>1774006.76</v>
      </c>
      <c r="G14" s="44">
        <f>ROUND(+IF('PART 2025'!$F$7&lt;1,'PISO 2021'!Q14*'PART 2025'!$D$7,'PISO 2021'!M14+Copete!F14),2)</f>
        <v>4496661.45</v>
      </c>
      <c r="H14" s="44">
        <f>ROUND(+IF('PART 2025'!$F$8&lt;1,'PISO 2021'!Q14*'PART 2025'!$D$8,'PISO 2021'!N14+Copete!G14),2)</f>
        <v>2055756.85</v>
      </c>
      <c r="I14" s="44">
        <f>ROUND(+IF('PART 2025'!$F$9&lt;1,'PISO 2021'!Q14*'PART 2025'!$D$9,'PISO 2021'!O14+Copete!H14),2)</f>
        <v>222438.87</v>
      </c>
      <c r="J14" s="44">
        <f>ROUND('COEF Art 14 F II'!K16,2)</f>
        <v>5759365.46</v>
      </c>
      <c r="K14" s="44">
        <f>ROUND('ISR BI'!E13,2)</f>
        <v>943926.1</v>
      </c>
      <c r="L14" s="136">
        <f t="shared" si="0"/>
        <v>95779160.909999996</v>
      </c>
    </row>
    <row r="15" spans="1:12">
      <c r="A15" s="69">
        <v>23</v>
      </c>
      <c r="B15" s="135" t="s">
        <v>119</v>
      </c>
      <c r="C15" s="44">
        <f>ROUND(+IF('PART 2025'!$F$4&lt;1,'PISO 2021'!Q15*'PART 2025'!$D$4,'PISO 2021'!J15+Copete!C15),2)</f>
        <v>36979306.060000002</v>
      </c>
      <c r="D15" s="44">
        <f>ROUND(+IF('PART 2025'!$F$5&lt;1,'PISO 2021'!Q15*'PART 2025'!$D$5,'PISO 2021'!K15+Copete!D15),2)</f>
        <v>5328869.08</v>
      </c>
      <c r="E15" s="44">
        <f>ROUND('Art.14 Frac.III'!O15,2)</f>
        <v>5272514.58</v>
      </c>
      <c r="F15" s="44">
        <f>ROUND(+IF('PART 2025'!$F$6&lt;1,'PISO 2021'!Q15*'PART 2025'!$D$6,'PISO 2021'!L15+Copete!E15),2)</f>
        <v>1236634.67</v>
      </c>
      <c r="G15" s="44">
        <f>ROUND(+IF('PART 2025'!$F$7&lt;1,'PISO 2021'!Q15*'PART 2025'!$D$7,'PISO 2021'!M15+Copete!F15),2)</f>
        <v>2570158.66</v>
      </c>
      <c r="H15" s="44">
        <f>ROUND(+IF('PART 2025'!$F$8&lt;1,'PISO 2021'!Q15*'PART 2025'!$D$8,'PISO 2021'!N15+Copete!G15),2)</f>
        <v>1213833.99</v>
      </c>
      <c r="I15" s="44">
        <f>ROUND(+IF('PART 2025'!$F$9&lt;1,'PISO 2021'!Q15*'PART 2025'!$D$9,'PISO 2021'!O15+Copete!H15),2)</f>
        <v>189817.4</v>
      </c>
      <c r="J15" s="44">
        <f>ROUND('COEF Art 14 F II'!K17,2)</f>
        <v>637170.26</v>
      </c>
      <c r="K15" s="44">
        <f>ROUND('ISR BI'!E14,2)</f>
        <v>30929.69</v>
      </c>
      <c r="L15" s="136">
        <f t="shared" si="0"/>
        <v>53459234.389999993</v>
      </c>
    </row>
    <row r="16" spans="1:12">
      <c r="A16" s="69">
        <v>21</v>
      </c>
      <c r="B16" s="135" t="s">
        <v>7</v>
      </c>
      <c r="C16" s="44">
        <f>ROUND(+IF('PART 2025'!$F$4&lt;1,'PISO 2021'!Q16*'PART 2025'!$D$4,'PISO 2021'!J16+Copete!C16),2)</f>
        <v>68676831.620000005</v>
      </c>
      <c r="D16" s="44">
        <f>ROUND(+IF('PART 2025'!$F$5&lt;1,'PISO 2021'!Q16*'PART 2025'!$D$5,'PISO 2021'!K16+Copete!D16),2)</f>
        <v>9739484.4600000009</v>
      </c>
      <c r="E16" s="44">
        <f>ROUND('Art.14 Frac.III'!O16,2)</f>
        <v>6843280.8799999999</v>
      </c>
      <c r="F16" s="44">
        <f>ROUND(+IF('PART 2025'!$F$6&lt;1,'PISO 2021'!Q16*'PART 2025'!$D$6,'PISO 2021'!L16+Copete!E16),2)</f>
        <v>2299532.62</v>
      </c>
      <c r="G16" s="44">
        <f>ROUND(+IF('PART 2025'!$F$7&lt;1,'PISO 2021'!Q16*'PART 2025'!$D$7,'PISO 2021'!M16+Copete!F16),2)</f>
        <v>4504218.96</v>
      </c>
      <c r="H16" s="44">
        <f>ROUND(+IF('PART 2025'!$F$8&lt;1,'PISO 2021'!Q16*'PART 2025'!$D$8,'PISO 2021'!N16+Copete!G16),2)</f>
        <v>2150323.56</v>
      </c>
      <c r="I16" s="44">
        <f>ROUND(+IF('PART 2025'!$F$9&lt;1,'PISO 2021'!Q16*'PART 2025'!$D$9,'PISO 2021'!O16+Copete!H16),2)</f>
        <v>369903.67</v>
      </c>
      <c r="J16" s="44">
        <f>ROUND('COEF Art 14 F II'!K18,2)</f>
        <v>837362.95</v>
      </c>
      <c r="K16" s="44">
        <f>ROUND('ISR BI'!E15,2)</f>
        <v>61993.73</v>
      </c>
      <c r="L16" s="136">
        <f t="shared" si="0"/>
        <v>95482932.450000018</v>
      </c>
    </row>
    <row r="17" spans="1:12">
      <c r="A17" s="69">
        <v>22</v>
      </c>
      <c r="B17" s="135" t="s">
        <v>120</v>
      </c>
      <c r="C17" s="44">
        <f>ROUND(+IF('PART 2025'!$F$4&lt;1,'PISO 2021'!Q17*'PART 2025'!$D$4,'PISO 2021'!J17+Copete!C17),2)</f>
        <v>55530061.039999999</v>
      </c>
      <c r="D17" s="44">
        <f>ROUND(+IF('PART 2025'!$F$5&lt;1,'PISO 2021'!Q17*'PART 2025'!$D$5,'PISO 2021'!K17+Copete!D17),2)</f>
        <v>8272639.2599999998</v>
      </c>
      <c r="E17" s="44">
        <f>ROUND('Art.14 Frac.III'!O17,2)</f>
        <v>20245791.66</v>
      </c>
      <c r="F17" s="44">
        <f>ROUND(+IF('PART 2025'!$F$6&lt;1,'PISO 2021'!Q17*'PART 2025'!$D$6,'PISO 2021'!L17+Copete!E17),2)</f>
        <v>1852014.96</v>
      </c>
      <c r="G17" s="44">
        <f>ROUND(+IF('PART 2025'!$F$7&lt;1,'PISO 2021'!Q17*'PART 2025'!$D$7,'PISO 2021'!M17+Copete!F17),2)</f>
        <v>4322630.3899999997</v>
      </c>
      <c r="H17" s="44">
        <f>ROUND(+IF('PART 2025'!$F$8&lt;1,'PISO 2021'!Q17*'PART 2025'!$D$8,'PISO 2021'!N17+Copete!G17),2)</f>
        <v>2001767.32</v>
      </c>
      <c r="I17" s="44">
        <f>ROUND(+IF('PART 2025'!$F$9&lt;1,'PISO 2021'!Q17*'PART 2025'!$D$9,'PISO 2021'!O17+Copete!H17),2)</f>
        <v>255115.06</v>
      </c>
      <c r="J17" s="44">
        <f>ROUND('COEF Art 14 F II'!K19,2)</f>
        <v>3950000.66</v>
      </c>
      <c r="K17" s="44">
        <f>ROUND('ISR BI'!E16,2)</f>
        <v>3461999.41</v>
      </c>
      <c r="L17" s="136">
        <f t="shared" si="0"/>
        <v>99892019.759999976</v>
      </c>
    </row>
    <row r="18" spans="1:12">
      <c r="A18" s="69">
        <v>25</v>
      </c>
      <c r="B18" s="135" t="s">
        <v>8</v>
      </c>
      <c r="C18" s="44">
        <f>ROUND(+IF('PART 2025'!$F$4&lt;1,'PISO 2021'!Q18*'PART 2025'!$D$4,'PISO 2021'!J18+Copete!C18),2)</f>
        <v>184728767.15000001</v>
      </c>
      <c r="D18" s="44">
        <f>ROUND(+IF('PART 2025'!$F$5&lt;1,'PISO 2021'!Q18*'PART 2025'!$D$5,'PISO 2021'!K18+Copete!D18),2)</f>
        <v>26042749.530000001</v>
      </c>
      <c r="E18" s="44">
        <f>ROUND('Art.14 Frac.III'!O18,2)</f>
        <v>1894642.34</v>
      </c>
      <c r="F18" s="44">
        <f>ROUND(+IF('PART 2025'!$F$6&lt;1,'PISO 2021'!Q18*'PART 2025'!$D$6,'PISO 2021'!L18+Copete!E18),2)</f>
        <v>6188193.3200000003</v>
      </c>
      <c r="G18" s="44">
        <f>ROUND(+IF('PART 2025'!$F$7&lt;1,'PISO 2021'!Q18*'PART 2025'!$D$7,'PISO 2021'!M18+Copete!F18),2)</f>
        <v>11850595.27</v>
      </c>
      <c r="H18" s="44">
        <f>ROUND(+IF('PART 2025'!$F$8&lt;1,'PISO 2021'!Q18*'PART 2025'!$D$8,'PISO 2021'!N18+Copete!G18),2)</f>
        <v>5681582.7199999997</v>
      </c>
      <c r="I18" s="44">
        <f>ROUND(+IF('PART 2025'!$F$9&lt;1,'PISO 2021'!Q18*'PART 2025'!$D$9,'PISO 2021'!O18+Copete!H18),2)</f>
        <v>1012097.08</v>
      </c>
      <c r="J18" s="44">
        <f>ROUND('COEF Art 14 F II'!K20,2)</f>
        <v>2430405.94</v>
      </c>
      <c r="K18" s="44">
        <f>ROUND('ISR BI'!E17,2)</f>
        <v>6984.36</v>
      </c>
      <c r="L18" s="136">
        <f t="shared" si="0"/>
        <v>239836017.71000004</v>
      </c>
    </row>
    <row r="19" spans="1:12">
      <c r="A19" s="69">
        <v>27</v>
      </c>
      <c r="B19" s="135" t="s">
        <v>9</v>
      </c>
      <c r="C19" s="44">
        <f>ROUND(+IF('PART 2025'!$F$4&lt;1,'PISO 2021'!Q19*'PART 2025'!$D$4,'PISO 2021'!J19+Copete!C19),2)</f>
        <v>23981096.699999999</v>
      </c>
      <c r="D19" s="44">
        <f>ROUND(+IF('PART 2025'!$F$5&lt;1,'PISO 2021'!Q19*'PART 2025'!$D$5,'PISO 2021'!K19+Copete!D19),2)</f>
        <v>3392046.33</v>
      </c>
      <c r="E19" s="44">
        <f>ROUND('Art.14 Frac.III'!O19,2)</f>
        <v>2473416.33</v>
      </c>
      <c r="F19" s="44">
        <f>ROUND(+IF('PART 2025'!$F$6&lt;1,'PISO 2021'!Q19*'PART 2025'!$D$6,'PISO 2021'!L19+Copete!E19),2)</f>
        <v>803131.35</v>
      </c>
      <c r="G19" s="44">
        <f>ROUND(+IF('PART 2025'!$F$7&lt;1,'PISO 2021'!Q19*'PART 2025'!$D$7,'PISO 2021'!M19+Copete!F19),2)</f>
        <v>1557647.91</v>
      </c>
      <c r="H19" s="44">
        <f>ROUND(+IF('PART 2025'!$F$8&lt;1,'PISO 2021'!Q19*'PART 2025'!$D$8,'PISO 2021'!N19+Copete!G19),2)</f>
        <v>745003.14</v>
      </c>
      <c r="I19" s="44">
        <f>ROUND(+IF('PART 2025'!$F$9&lt;1,'PISO 2021'!Q19*'PART 2025'!$D$9,'PISO 2021'!O19+Copete!H19),2)</f>
        <v>130145.89</v>
      </c>
      <c r="J19" s="44">
        <f>ROUND('COEF Art 14 F II'!K21,2)</f>
        <v>199870.96</v>
      </c>
      <c r="K19" s="44">
        <f>ROUND('ISR BI'!E18,2)</f>
        <v>6846.37</v>
      </c>
      <c r="L19" s="136">
        <f t="shared" si="0"/>
        <v>33289204.980000004</v>
      </c>
    </row>
    <row r="20" spans="1:12">
      <c r="A20" s="69">
        <v>26</v>
      </c>
      <c r="B20" s="135" t="s">
        <v>121</v>
      </c>
      <c r="C20" s="44">
        <f>ROUND(+IF('PART 2025'!$F$4&lt;1,'PISO 2021'!Q20*'PART 2025'!$D$4,'PISO 2021'!J20+Copete!C20),2)</f>
        <v>16716377.34</v>
      </c>
      <c r="D20" s="44">
        <f>ROUND(+IF('PART 2025'!$F$5&lt;1,'PISO 2021'!Q20*'PART 2025'!$D$5,'PISO 2021'!K20+Copete!D20),2)</f>
        <v>2362628.5499999998</v>
      </c>
      <c r="E20" s="44">
        <f>ROUND('Art.14 Frac.III'!O20,2)</f>
        <v>6716890.4400000004</v>
      </c>
      <c r="F20" s="44">
        <f>ROUND(+IF('PART 2025'!$F$6&lt;1,'PISO 2021'!Q20*'PART 2025'!$D$6,'PISO 2021'!L20+Copete!E20),2)</f>
        <v>559868.56999999995</v>
      </c>
      <c r="G20" s="44">
        <f>ROUND(+IF('PART 2025'!$F$7&lt;1,'PISO 2021'!Q20*'PART 2025'!$D$7,'PISO 2021'!M20+Copete!F20),2)</f>
        <v>1082618.75</v>
      </c>
      <c r="H20" s="44">
        <f>ROUND(+IF('PART 2025'!$F$8&lt;1,'PISO 2021'!Q20*'PART 2025'!$D$8,'PISO 2021'!N20+Copete!G20),2)</f>
        <v>518093.01</v>
      </c>
      <c r="I20" s="44">
        <f>ROUND(+IF('PART 2025'!$F$9&lt;1,'PISO 2021'!Q20*'PART 2025'!$D$9,'PISO 2021'!O20+Copete!H20),2)</f>
        <v>90924.46</v>
      </c>
      <c r="J20" s="44">
        <f>ROUND('COEF Art 14 F II'!K22,2)</f>
        <v>235924.59</v>
      </c>
      <c r="K20" s="44">
        <f>ROUND('ISR BI'!E19,2)</f>
        <v>127705.42</v>
      </c>
      <c r="L20" s="136">
        <f t="shared" si="0"/>
        <v>28411031.130000006</v>
      </c>
    </row>
    <row r="21" spans="1:12">
      <c r="A21" s="69">
        <v>29</v>
      </c>
      <c r="B21" s="135" t="s">
        <v>10</v>
      </c>
      <c r="C21" s="44">
        <f>ROUND(+IF('PART 2025'!$F$4&lt;1,'PISO 2021'!Q21*'PART 2025'!$D$4,'PISO 2021'!J21+Copete!C21),2)</f>
        <v>148291857.11000001</v>
      </c>
      <c r="D21" s="44">
        <f>ROUND(+IF('PART 2025'!$F$5&lt;1,'PISO 2021'!Q21*'PART 2025'!$D$5,'PISO 2021'!K21+Copete!D21),2)</f>
        <v>21011913.120000001</v>
      </c>
      <c r="E21" s="44">
        <f>ROUND('Art.14 Frac.III'!O21,2)</f>
        <v>1870215.54</v>
      </c>
      <c r="F21" s="44">
        <f>ROUND(+IF('PART 2025'!$F$6&lt;1,'PISO 2021'!Q21*'PART 2025'!$D$6,'PISO 2021'!L21+Copete!E21),2)</f>
        <v>4965649.28</v>
      </c>
      <c r="G21" s="44">
        <f>ROUND(+IF('PART 2025'!$F$7&lt;1,'PISO 2021'!Q21*'PART 2025'!$D$7,'PISO 2021'!M21+Copete!F21),2)</f>
        <v>9694551.7899999991</v>
      </c>
      <c r="H21" s="44">
        <f>ROUND(+IF('PART 2025'!$F$8&lt;1,'PISO 2021'!Q21*'PART 2025'!$D$8,'PISO 2021'!N21+Copete!G21),2)</f>
        <v>4631041.96</v>
      </c>
      <c r="I21" s="44">
        <f>ROUND(+IF('PART 2025'!$F$9&lt;1,'PISO 2021'!Q21*'PART 2025'!$D$9,'PISO 2021'!O21+Copete!H21),2)</f>
        <v>800742.84</v>
      </c>
      <c r="J21" s="44">
        <f>ROUND('COEF Art 14 F II'!K23,2)</f>
        <v>2558998.5099999998</v>
      </c>
      <c r="K21" s="44">
        <f>ROUND('ISR BI'!E20,2)</f>
        <v>29031.32</v>
      </c>
      <c r="L21" s="136">
        <f t="shared" si="0"/>
        <v>193854001.47</v>
      </c>
    </row>
    <row r="22" spans="1:12">
      <c r="A22" s="69">
        <v>30</v>
      </c>
      <c r="B22" s="135" t="s">
        <v>122</v>
      </c>
      <c r="C22" s="44">
        <f>ROUND(+IF('PART 2025'!$F$4&lt;1,'PISO 2021'!Q22*'PART 2025'!$D$4,'PISO 2021'!J22+Copete!C22),2)</f>
        <v>276225094.63999999</v>
      </c>
      <c r="D22" s="44">
        <f>ROUND(+IF('PART 2025'!$F$5&lt;1,'PISO 2021'!Q22*'PART 2025'!$D$5,'PISO 2021'!K22+Copete!D22),2)</f>
        <v>40962782.149999999</v>
      </c>
      <c r="E22" s="44">
        <f>ROUND('Art.14 Frac.III'!O22,2)</f>
        <v>15890983.93</v>
      </c>
      <c r="F22" s="44">
        <f>ROUND(+IF('PART 2025'!$F$6&lt;1,'PISO 2021'!Q22*'PART 2025'!$D$6,'PISO 2021'!L22+Copete!E22),2)</f>
        <v>9216004.4700000007</v>
      </c>
      <c r="G22" s="44">
        <f>ROUND(+IF('PART 2025'!$F$7&lt;1,'PISO 2021'!Q22*'PART 2025'!$D$7,'PISO 2021'!M22+Copete!F22),2)</f>
        <v>21180197.280000001</v>
      </c>
      <c r="H22" s="44">
        <f>ROUND(+IF('PART 2025'!$F$8&lt;1,'PISO 2021'!Q22*'PART 2025'!$D$8,'PISO 2021'!N22+Copete!G22),2)</f>
        <v>9832999.1099999994</v>
      </c>
      <c r="I22" s="44">
        <f>ROUND(+IF('PART 2025'!$F$9&lt;1,'PISO 2021'!Q22*'PART 2025'!$D$9,'PISO 2021'!O22+Copete!H22),2)</f>
        <v>1289833.3999999999</v>
      </c>
      <c r="J22" s="44">
        <f>ROUND('COEF Art 14 F II'!K24,2)</f>
        <v>21263650.780000001</v>
      </c>
      <c r="K22" s="44">
        <f>ROUND('ISR BI'!E21,2)</f>
        <v>20824723.149999999</v>
      </c>
      <c r="L22" s="136">
        <f t="shared" si="0"/>
        <v>416686268.90999997</v>
      </c>
    </row>
    <row r="23" spans="1:12">
      <c r="A23" s="69">
        <v>32</v>
      </c>
      <c r="B23" s="135" t="s">
        <v>11</v>
      </c>
      <c r="C23" s="44">
        <f>ROUND(+IF('PART 2025'!$F$4&lt;1,'PISO 2021'!Q23*'PART 2025'!$D$4,'PISO 2021'!J23+Copete!C23),2)</f>
        <v>33145357.719999999</v>
      </c>
      <c r="D23" s="44">
        <f>ROUND(+IF('PART 2025'!$F$5&lt;1,'PISO 2021'!Q23*'PART 2025'!$D$5,'PISO 2021'!K23+Copete!D23),2)</f>
        <v>4787875.2300000004</v>
      </c>
      <c r="E23" s="44">
        <f>ROUND('Art.14 Frac.III'!O23,2)</f>
        <v>59305653.789999999</v>
      </c>
      <c r="F23" s="44">
        <f>ROUND(+IF('PART 2025'!$F$6&lt;1,'PISO 2021'!Q23*'PART 2025'!$D$6,'PISO 2021'!L23+Copete!E23),2)</f>
        <v>1108211.01</v>
      </c>
      <c r="G23" s="44">
        <f>ROUND(+IF('PART 2025'!$F$7&lt;1,'PISO 2021'!Q23*'PART 2025'!$D$7,'PISO 2021'!M23+Copete!F23),2)</f>
        <v>2323366.42</v>
      </c>
      <c r="H23" s="44">
        <f>ROUND(+IF('PART 2025'!$F$8&lt;1,'PISO 2021'!Q23*'PART 2025'!$D$8,'PISO 2021'!N23+Copete!G23),2)</f>
        <v>1095591.3</v>
      </c>
      <c r="I23" s="44">
        <f>ROUND(+IF('PART 2025'!$F$9&lt;1,'PISO 2021'!Q23*'PART 2025'!$D$9,'PISO 2021'!O23+Copete!H23),2)</f>
        <v>168866.09</v>
      </c>
      <c r="J23" s="44">
        <f>ROUND('COEF Art 14 F II'!K25,2)</f>
        <v>549907.9</v>
      </c>
      <c r="K23" s="44">
        <f>ROUND('ISR BI'!E22,2)</f>
        <v>20305.52</v>
      </c>
      <c r="L23" s="136">
        <f t="shared" si="0"/>
        <v>102505134.98000002</v>
      </c>
    </row>
    <row r="24" spans="1:12">
      <c r="A24" s="69">
        <v>33</v>
      </c>
      <c r="B24" s="135" t="s">
        <v>12</v>
      </c>
      <c r="C24" s="44">
        <f>ROUND(+IF('PART 2025'!$F$4&lt;1,'PISO 2021'!Q24*'PART 2025'!$D$4,'PISO 2021'!J24+Copete!C24),2)</f>
        <v>501210189.39999998</v>
      </c>
      <c r="D24" s="44">
        <f>ROUND(+IF('PART 2025'!$F$5&lt;1,'PISO 2021'!Q24*'PART 2025'!$D$5,'PISO 2021'!K24+Copete!D24),2)</f>
        <v>73215006.109999999</v>
      </c>
      <c r="E24" s="44">
        <f>ROUND('Art.14 Frac.III'!O24,2)</f>
        <v>16350054.27</v>
      </c>
      <c r="F24" s="44">
        <f>ROUND(+IF('PART 2025'!$F$6&lt;1,'PISO 2021'!Q24*'PART 2025'!$D$6,'PISO 2021'!L24+Copete!E24),2)</f>
        <v>16742902.18</v>
      </c>
      <c r="G24" s="44">
        <f>ROUND(+IF('PART 2025'!$F$7&lt;1,'PISO 2021'!Q24*'PART 2025'!$D$7,'PISO 2021'!M24+Copete!F24),2)</f>
        <v>36527843.469999999</v>
      </c>
      <c r="H24" s="44">
        <f>ROUND(+IF('PART 2025'!$F$8&lt;1,'PISO 2021'!Q24*'PART 2025'!$D$8,'PISO 2021'!N24+Copete!G24),2)</f>
        <v>17106204.43</v>
      </c>
      <c r="I24" s="44">
        <f>ROUND(+IF('PART 2025'!$F$9&lt;1,'PISO 2021'!Q24*'PART 2025'!$D$9,'PISO 2021'!O24+Copete!H24),2)</f>
        <v>2463396.96</v>
      </c>
      <c r="J24" s="44">
        <f>ROUND('COEF Art 14 F II'!K26,2)</f>
        <v>26007944.129999999</v>
      </c>
      <c r="K24" s="44">
        <f>ROUND('ISR BI'!E23,2)</f>
        <v>16368888.02</v>
      </c>
      <c r="L24" s="136">
        <f t="shared" si="0"/>
        <v>705992428.96999991</v>
      </c>
    </row>
    <row r="25" spans="1:12">
      <c r="A25" s="69">
        <v>34</v>
      </c>
      <c r="B25" s="135" t="s">
        <v>123</v>
      </c>
      <c r="C25" s="44">
        <f>ROUND(+IF('PART 2025'!$F$4&lt;1,'PISO 2021'!Q25*'PART 2025'!$D$4,'PISO 2021'!J25+Copete!C25),2)</f>
        <v>59350086.979999997</v>
      </c>
      <c r="D25" s="44">
        <f>ROUND(+IF('PART 2025'!$F$5&lt;1,'PISO 2021'!Q25*'PART 2025'!$D$5,'PISO 2021'!K25+Copete!D25),2)</f>
        <v>8445451.5700000003</v>
      </c>
      <c r="E25" s="44">
        <f>ROUND('Art.14 Frac.III'!O25,2)</f>
        <v>5234430.71</v>
      </c>
      <c r="F25" s="44">
        <f>ROUND(+IF('PART 2025'!$F$6&lt;1,'PISO 2021'!Q25*'PART 2025'!$D$6,'PISO 2021'!L25+Copete!E25),2)</f>
        <v>1986714.22</v>
      </c>
      <c r="G25" s="44">
        <f>ROUND(+IF('PART 2025'!$F$7&lt;1,'PISO 2021'!Q25*'PART 2025'!$D$7,'PISO 2021'!M25+Copete!F25),2)</f>
        <v>3941566.62</v>
      </c>
      <c r="H25" s="44">
        <f>ROUND(+IF('PART 2025'!$F$8&lt;1,'PISO 2021'!Q25*'PART 2025'!$D$8,'PISO 2021'!N25+Copete!G25),2)</f>
        <v>1877254.03</v>
      </c>
      <c r="I25" s="44">
        <f>ROUND(+IF('PART 2025'!$F$9&lt;1,'PISO 2021'!Q25*'PART 2025'!$D$9,'PISO 2021'!O25+Copete!H25),2)</f>
        <v>316499.28999999998</v>
      </c>
      <c r="J25" s="44">
        <f>ROUND('COEF Art 14 F II'!K27,2)</f>
        <v>967907.59</v>
      </c>
      <c r="K25" s="44">
        <f>ROUND('ISR BI'!E24,2)</f>
        <v>106295.95</v>
      </c>
      <c r="L25" s="136">
        <f t="shared" si="0"/>
        <v>82226206.960000008</v>
      </c>
    </row>
    <row r="26" spans="1:12">
      <c r="A26" s="69">
        <v>35</v>
      </c>
      <c r="B26" s="135" t="s">
        <v>13</v>
      </c>
      <c r="C26" s="44">
        <f>ROUND(+IF('PART 2025'!$F$4&lt;1,'PISO 2021'!Q26*'PART 2025'!$D$4,'PISO 2021'!J26+Copete!C26),2)</f>
        <v>10233199.65</v>
      </c>
      <c r="D26" s="44">
        <f>ROUND(+IF('PART 2025'!$F$5&lt;1,'PISO 2021'!Q26*'PART 2025'!$D$5,'PISO 2021'!K26+Copete!D26),2)</f>
        <v>1467039.22</v>
      </c>
      <c r="E26" s="44">
        <f>ROUND('Art.14 Frac.III'!O26,2)</f>
        <v>7168495.3099999996</v>
      </c>
      <c r="F26" s="44">
        <f>ROUND(+IF('PART 2025'!$F$6&lt;1,'PISO 2021'!Q26*'PART 2025'!$D$6,'PISO 2021'!L26+Copete!E26),2)</f>
        <v>342351.15</v>
      </c>
      <c r="G26" s="44">
        <f>ROUND(+IF('PART 2025'!$F$7&lt;1,'PISO 2021'!Q26*'PART 2025'!$D$7,'PISO 2021'!M26+Copete!F26),2)</f>
        <v>698211.66</v>
      </c>
      <c r="H26" s="44">
        <f>ROUND(+IF('PART 2025'!$F$8&lt;1,'PISO 2021'!Q26*'PART 2025'!$D$8,'PISO 2021'!N26+Copete!G26),2)</f>
        <v>330868.18</v>
      </c>
      <c r="I26" s="44">
        <f>ROUND(+IF('PART 2025'!$F$9&lt;1,'PISO 2021'!Q26*'PART 2025'!$D$9,'PISO 2021'!O26+Copete!H26),2)</f>
        <v>53369.15</v>
      </c>
      <c r="J26" s="44">
        <f>ROUND('COEF Art 14 F II'!K28,2)</f>
        <v>178849.5</v>
      </c>
      <c r="K26" s="44">
        <f>ROUND('ISR BI'!E25,2)</f>
        <v>2271.34</v>
      </c>
      <c r="L26" s="136">
        <f t="shared" si="0"/>
        <v>20474655.159999996</v>
      </c>
    </row>
    <row r="27" spans="1:12">
      <c r="A27" s="69">
        <v>61</v>
      </c>
      <c r="B27" s="135" t="s">
        <v>14</v>
      </c>
      <c r="C27" s="44">
        <f>ROUND(+IF('PART 2025'!$F$4&lt;1,'PISO 2021'!Q27*'PART 2025'!$D$4,'PISO 2021'!J27+Copete!C27),2)</f>
        <v>41931750.229999997</v>
      </c>
      <c r="D27" s="44">
        <f>ROUND(+IF('PART 2025'!$F$5&lt;1,'PISO 2021'!Q27*'PART 2025'!$D$5,'PISO 2021'!K27+Copete!D27),2)</f>
        <v>5924603.4699999997</v>
      </c>
      <c r="E27" s="44">
        <f>ROUND('Art.14 Frac.III'!O27,2)</f>
        <v>8521926.3399999999</v>
      </c>
      <c r="F27" s="44">
        <f>ROUND(+IF('PART 2025'!$F$6&lt;1,'PISO 2021'!Q27*'PART 2025'!$D$6,'PISO 2021'!L27+Copete!E27),2)</f>
        <v>1404421.78</v>
      </c>
      <c r="G27" s="44">
        <f>ROUND(+IF('PART 2025'!$F$7&lt;1,'PISO 2021'!Q27*'PART 2025'!$D$7,'PISO 2021'!M27+Copete!F27),2)</f>
        <v>2712466.32</v>
      </c>
      <c r="H27" s="44">
        <f>ROUND(+IF('PART 2025'!$F$8&lt;1,'PISO 2021'!Q27*'PART 2025'!$D$8,'PISO 2021'!N27+Copete!G27),2)</f>
        <v>1298359.83</v>
      </c>
      <c r="I27" s="44">
        <f>ROUND(+IF('PART 2025'!$F$9&lt;1,'PISO 2021'!Q27*'PART 2025'!$D$9,'PISO 2021'!O27+Copete!H27),2)</f>
        <v>228283.78</v>
      </c>
      <c r="J27" s="44">
        <f>ROUND('COEF Art 14 F II'!K29,2)</f>
        <v>496579.3</v>
      </c>
      <c r="K27" s="44">
        <f>ROUND('ISR BI'!E26,2)</f>
        <v>6174</v>
      </c>
      <c r="L27" s="136">
        <f t="shared" si="0"/>
        <v>62524565.04999999</v>
      </c>
    </row>
    <row r="28" spans="1:12">
      <c r="A28" s="69">
        <v>36</v>
      </c>
      <c r="B28" s="135" t="s">
        <v>15</v>
      </c>
      <c r="C28" s="44">
        <f>ROUND(+IF('PART 2025'!$F$4&lt;1,'PISO 2021'!Q28*'PART 2025'!$D$4,'PISO 2021'!J28+Copete!C28),2)</f>
        <v>63583811.880000003</v>
      </c>
      <c r="D28" s="44">
        <f>ROUND(+IF('PART 2025'!$F$5&lt;1,'PISO 2021'!Q28*'PART 2025'!$D$5,'PISO 2021'!K28+Copete!D28),2)</f>
        <v>9423391.9299999997</v>
      </c>
      <c r="E28" s="44">
        <f>ROUND('Art.14 Frac.III'!O28,2)</f>
        <v>4237901.45</v>
      </c>
      <c r="F28" s="44">
        <f>ROUND(+IF('PART 2025'!$F$6&lt;1,'PISO 2021'!Q28*'PART 2025'!$D$6,'PISO 2021'!L28+Copete!E28),2)</f>
        <v>2121523.44</v>
      </c>
      <c r="G28" s="44">
        <f>ROUND(+IF('PART 2025'!$F$7&lt;1,'PISO 2021'!Q28*'PART 2025'!$D$7,'PISO 2021'!M28+Copete!F28),2)</f>
        <v>4865565.62</v>
      </c>
      <c r="H28" s="44">
        <f>ROUND(+IF('PART 2025'!$F$8&lt;1,'PISO 2021'!Q28*'PART 2025'!$D$8,'PISO 2021'!N28+Copete!G28),2)</f>
        <v>2259627.4300000002</v>
      </c>
      <c r="I28" s="44">
        <f>ROUND(+IF('PART 2025'!$F$9&lt;1,'PISO 2021'!Q28*'PART 2025'!$D$9,'PISO 2021'!O28+Copete!H28),2)</f>
        <v>297542.40000000002</v>
      </c>
      <c r="J28" s="44">
        <f>ROUND('COEF Art 14 F II'!K30,2)</f>
        <v>5467035.2599999998</v>
      </c>
      <c r="K28" s="44">
        <f>ROUND('ISR BI'!E27,2)</f>
        <v>2632055.38</v>
      </c>
      <c r="L28" s="136">
        <f t="shared" si="0"/>
        <v>94888454.790000021</v>
      </c>
    </row>
    <row r="29" spans="1:12">
      <c r="A29" s="69">
        <v>28</v>
      </c>
      <c r="B29" s="135" t="s">
        <v>16</v>
      </c>
      <c r="C29" s="44">
        <f>ROUND(+IF('PART 2025'!$F$4&lt;1,'PISO 2021'!Q29*'PART 2025'!$D$4,'PISO 2021'!J29+Copete!C29),2)</f>
        <v>765793064.51999998</v>
      </c>
      <c r="D29" s="44">
        <f>ROUND(+IF('PART 2025'!$F$5&lt;1,'PISO 2021'!Q29*'PART 2025'!$D$5,'PISO 2021'!K29+Copete!D29),2)</f>
        <v>110465221.09999999</v>
      </c>
      <c r="E29" s="44">
        <f>ROUND('Art.14 Frac.III'!O29,2)</f>
        <v>17876220.239999998</v>
      </c>
      <c r="F29" s="44">
        <f>ROUND(+IF('PART 2025'!$F$6&lt;1,'PISO 2021'!Q29*'PART 2025'!$D$6,'PISO 2021'!L29+Copete!E29),2)</f>
        <v>25607037.600000001</v>
      </c>
      <c r="G29" s="44">
        <f>ROUND(+IF('PART 2025'!$F$7&lt;1,'PISO 2021'!Q29*'PART 2025'!$D$7,'PISO 2021'!M29+Copete!F29),2)</f>
        <v>53415189.299999997</v>
      </c>
      <c r="H29" s="44">
        <f>ROUND(+IF('PART 2025'!$F$8&lt;1,'PISO 2021'!Q29*'PART 2025'!$D$8,'PISO 2021'!N29+Copete!G29),2)</f>
        <v>25210569.600000001</v>
      </c>
      <c r="I29" s="44">
        <f>ROUND(+IF('PART 2025'!$F$9&lt;1,'PISO 2021'!Q29*'PART 2025'!$D$9,'PISO 2021'!O29+Copete!H29),2)</f>
        <v>3918557.3</v>
      </c>
      <c r="J29" s="44">
        <f>ROUND('COEF Art 14 F II'!K31,2)</f>
        <v>33147936.18</v>
      </c>
      <c r="K29" s="44">
        <f>ROUND('ISR BI'!E28,2)</f>
        <v>12962255.189999999</v>
      </c>
      <c r="L29" s="136">
        <f t="shared" si="0"/>
        <v>1048396051.03</v>
      </c>
    </row>
    <row r="30" spans="1:12">
      <c r="A30" s="69">
        <v>37</v>
      </c>
      <c r="B30" s="135" t="s">
        <v>124</v>
      </c>
      <c r="C30" s="44">
        <f>ROUND(+IF('PART 2025'!$F$4&lt;1,'PISO 2021'!Q30*'PART 2025'!$D$4,'PISO 2021'!J30+Copete!C30),2)</f>
        <v>16491408.359999999</v>
      </c>
      <c r="D30" s="44">
        <f>ROUND(+IF('PART 2025'!$F$5&lt;1,'PISO 2021'!Q30*'PART 2025'!$D$5,'PISO 2021'!K30+Copete!D30),2)</f>
        <v>2323593.8199999998</v>
      </c>
      <c r="E30" s="44">
        <f>ROUND('Art.14 Frac.III'!O30,2)</f>
        <v>3995849.63</v>
      </c>
      <c r="F30" s="44">
        <f>ROUND(+IF('PART 2025'!$F$6&lt;1,'PISO 2021'!Q30*'PART 2025'!$D$6,'PISO 2021'!L30+Copete!E30),2)</f>
        <v>552467.12</v>
      </c>
      <c r="G30" s="44">
        <f>ROUND(+IF('PART 2025'!$F$7&lt;1,'PISO 2021'!Q30*'PART 2025'!$D$7,'PISO 2021'!M30+Copete!F30),2)</f>
        <v>1055656.6599999999</v>
      </c>
      <c r="H30" s="44">
        <f>ROUND(+IF('PART 2025'!$F$8&lt;1,'PISO 2021'!Q30*'PART 2025'!$D$8,'PISO 2021'!N30+Copete!G30),2)</f>
        <v>506330.79</v>
      </c>
      <c r="I30" s="44">
        <f>ROUND(+IF('PART 2025'!$F$9&lt;1,'PISO 2021'!Q30*'PART 2025'!$D$9,'PISO 2021'!O30+Copete!H30),2)</f>
        <v>90501.48</v>
      </c>
      <c r="J30" s="44">
        <f>ROUND('COEF Art 14 F II'!K32,2)</f>
        <v>171272.71</v>
      </c>
      <c r="K30" s="44">
        <f>ROUND('ISR BI'!E29,2)</f>
        <v>2189.08</v>
      </c>
      <c r="L30" s="136">
        <f t="shared" si="0"/>
        <v>25189269.649999999</v>
      </c>
    </row>
    <row r="31" spans="1:12">
      <c r="A31" s="69">
        <v>39</v>
      </c>
      <c r="B31" s="135" t="s">
        <v>17</v>
      </c>
      <c r="C31" s="44">
        <f>ROUND(+IF('PART 2025'!$F$4&lt;1,'PISO 2021'!Q31*'PART 2025'!$D$4,'PISO 2021'!J31+Copete!C31),2)</f>
        <v>28913913.079999998</v>
      </c>
      <c r="D31" s="44">
        <f>ROUND(+IF('PART 2025'!$F$5&lt;1,'PISO 2021'!Q31*'PART 2025'!$D$5,'PISO 2021'!K31+Copete!D31),2)</f>
        <v>4084673.75</v>
      </c>
      <c r="E31" s="44">
        <f>ROUND('Art.14 Frac.III'!O31,2)</f>
        <v>3401619.96</v>
      </c>
      <c r="F31" s="44">
        <f>ROUND(+IF('PART 2025'!$F$6&lt;1,'PISO 2021'!Q31*'PART 2025'!$D$6,'PISO 2021'!L31+Copete!E31),2)</f>
        <v>968426.23</v>
      </c>
      <c r="G31" s="44">
        <f>ROUND(+IF('PART 2025'!$F$7&lt;1,'PISO 2021'!Q31*'PART 2025'!$D$7,'PISO 2021'!M31+Copete!F31),2)</f>
        <v>1869313.54</v>
      </c>
      <c r="H31" s="44">
        <f>ROUND(+IF('PART 2025'!$F$8&lt;1,'PISO 2021'!Q31*'PART 2025'!$D$8,'PISO 2021'!N31+Copete!G31),2)</f>
        <v>894870.63</v>
      </c>
      <c r="I31" s="44">
        <f>ROUND(+IF('PART 2025'!$F$9&lt;1,'PISO 2021'!Q31*'PART 2025'!$D$9,'PISO 2021'!O31+Copete!H31),2)</f>
        <v>157480.85</v>
      </c>
      <c r="J31" s="44">
        <f>ROUND('COEF Art 14 F II'!K33,2)</f>
        <v>840255.72</v>
      </c>
      <c r="K31" s="44">
        <f>ROUND('ISR BI'!E30,2)</f>
        <v>30600.48</v>
      </c>
      <c r="L31" s="136">
        <f t="shared" si="0"/>
        <v>41161154.239999995</v>
      </c>
    </row>
    <row r="32" spans="1:12">
      <c r="A32" s="69">
        <v>38</v>
      </c>
      <c r="B32" s="135" t="s">
        <v>18</v>
      </c>
      <c r="C32" s="44">
        <f>ROUND(+IF('PART 2025'!$F$4&lt;1,'PISO 2021'!Q32*'PART 2025'!$D$4,'PISO 2021'!J32+Copete!C32),2)</f>
        <v>17525590.879999999</v>
      </c>
      <c r="D32" s="44">
        <f>ROUND(+IF('PART 2025'!$F$5&lt;1,'PISO 2021'!Q32*'PART 2025'!$D$5,'PISO 2021'!K32+Copete!D32),2)</f>
        <v>2494568.23</v>
      </c>
      <c r="E32" s="44">
        <f>ROUND('Art.14 Frac.III'!O32,2)</f>
        <v>8117876.5700000003</v>
      </c>
      <c r="F32" s="44">
        <f>ROUND(+IF('PART 2025'!$F$6&lt;1,'PISO 2021'!Q32*'PART 2025'!$D$6,'PISO 2021'!L32+Copete!E32),2)</f>
        <v>586647.49</v>
      </c>
      <c r="G32" s="44">
        <f>ROUND(+IF('PART 2025'!$F$7&lt;1,'PISO 2021'!Q32*'PART 2025'!$D$7,'PISO 2021'!M32+Copete!F32),2)</f>
        <v>1165103.79</v>
      </c>
      <c r="H32" s="44">
        <f>ROUND(+IF('PART 2025'!$F$8&lt;1,'PISO 2021'!Q32*'PART 2025'!$D$8,'PISO 2021'!N32+Copete!G32),2)</f>
        <v>554798.23</v>
      </c>
      <c r="I32" s="44">
        <f>ROUND(+IF('PART 2025'!$F$9&lt;1,'PISO 2021'!Q32*'PART 2025'!$D$9,'PISO 2021'!O32+Copete!H32),2)</f>
        <v>93382.64</v>
      </c>
      <c r="J32" s="44">
        <f>ROUND('COEF Art 14 F II'!K34,2)</f>
        <v>184712.63</v>
      </c>
      <c r="K32" s="44">
        <f>ROUND('ISR BI'!E31,2)</f>
        <v>5758.35</v>
      </c>
      <c r="L32" s="136">
        <f t="shared" si="0"/>
        <v>30728438.809999999</v>
      </c>
    </row>
    <row r="33" spans="1:12">
      <c r="A33" s="69">
        <v>40</v>
      </c>
      <c r="B33" s="135" t="s">
        <v>19</v>
      </c>
      <c r="C33" s="44">
        <f>ROUND(+IF('PART 2025'!$F$4&lt;1,'PISO 2021'!Q33*'PART 2025'!$D$4,'PISO 2021'!J33+Copete!C33),2)</f>
        <v>23592659.420000002</v>
      </c>
      <c r="D33" s="44">
        <f>ROUND(+IF('PART 2025'!$F$5&lt;1,'PISO 2021'!Q33*'PART 2025'!$D$5,'PISO 2021'!K33+Copete!D33),2)</f>
        <v>3341893.94</v>
      </c>
      <c r="E33" s="44">
        <f>ROUND('Art.14 Frac.III'!O33,2)</f>
        <v>5925803.5599999996</v>
      </c>
      <c r="F33" s="44">
        <f>ROUND(+IF('PART 2025'!$F$6&lt;1,'PISO 2021'!Q33*'PART 2025'!$D$6,'PISO 2021'!L33+Copete!E33),2)</f>
        <v>790034.32</v>
      </c>
      <c r="G33" s="44">
        <f>ROUND(+IF('PART 2025'!$F$7&lt;1,'PISO 2021'!Q33*'PART 2025'!$D$7,'PISO 2021'!M33+Copete!F33),2)</f>
        <v>1540619.42</v>
      </c>
      <c r="H33" s="44">
        <f>ROUND(+IF('PART 2025'!$F$8&lt;1,'PISO 2021'!Q33*'PART 2025'!$D$8,'PISO 2021'!N33+Copete!G33),2)</f>
        <v>736105.91</v>
      </c>
      <c r="I33" s="44">
        <f>ROUND(+IF('PART 2025'!$F$9&lt;1,'PISO 2021'!Q33*'PART 2025'!$D$9,'PISO 2021'!O33+Copete!H33),2)</f>
        <v>127507.91</v>
      </c>
      <c r="J33" s="44">
        <f>ROUND('COEF Art 14 F II'!K35,2)</f>
        <v>423469.6</v>
      </c>
      <c r="K33" s="44">
        <f>ROUND('ISR BI'!E32,2)</f>
        <v>63817.21</v>
      </c>
      <c r="L33" s="136">
        <f t="shared" si="0"/>
        <v>36541911.289999999</v>
      </c>
    </row>
    <row r="34" spans="1:12">
      <c r="A34" s="69">
        <v>41</v>
      </c>
      <c r="B34" s="135" t="s">
        <v>20</v>
      </c>
      <c r="C34" s="44">
        <f>ROUND(+IF('PART 2025'!$F$4&lt;1,'PISO 2021'!Q34*'PART 2025'!$D$4,'PISO 2021'!J34+Copete!C34),2)</f>
        <v>22944124.809999999</v>
      </c>
      <c r="D34" s="44">
        <f>ROUND(+IF('PART 2025'!$F$5&lt;1,'PISO 2021'!Q34*'PART 2025'!$D$5,'PISO 2021'!K34+Copete!D34),2)</f>
        <v>3259104.7</v>
      </c>
      <c r="E34" s="44">
        <f>ROUND('Art.14 Frac.III'!O34,2)</f>
        <v>3438609.62</v>
      </c>
      <c r="F34" s="44">
        <f>ROUND(+IF('PART 2025'!$F$6&lt;1,'PISO 2021'!Q34*'PART 2025'!$D$6,'PISO 2021'!L34+Copete!E34),2)</f>
        <v>768150.12</v>
      </c>
      <c r="G34" s="44">
        <f>ROUND(+IF('PART 2025'!$F$7&lt;1,'PISO 2021'!Q34*'PART 2025'!$D$7,'PISO 2021'!M34+Copete!F34),2)</f>
        <v>1513806.8</v>
      </c>
      <c r="H34" s="44">
        <f>ROUND(+IF('PART 2025'!$F$8&lt;1,'PISO 2021'!Q34*'PART 2025'!$D$8,'PISO 2021'!N34+Copete!G34),2)</f>
        <v>721876.51</v>
      </c>
      <c r="I34" s="44">
        <f>ROUND(+IF('PART 2025'!$F$9&lt;1,'PISO 2021'!Q34*'PART 2025'!$D$9,'PISO 2021'!O34+Copete!H34),2)</f>
        <v>122998.97</v>
      </c>
      <c r="J34" s="44">
        <f>ROUND('COEF Art 14 F II'!K36,2)</f>
        <v>287497.86</v>
      </c>
      <c r="K34" s="44">
        <f>ROUND('ISR BI'!E33,2)</f>
        <v>1728.41</v>
      </c>
      <c r="L34" s="136">
        <f t="shared" si="0"/>
        <v>33057897.800000001</v>
      </c>
    </row>
    <row r="35" spans="1:12">
      <c r="A35" s="69">
        <v>42</v>
      </c>
      <c r="B35" s="135" t="s">
        <v>125</v>
      </c>
      <c r="C35" s="44">
        <f>ROUND(+IF('PART 2025'!$F$4&lt;1,'PISO 2021'!Q35*'PART 2025'!$D$4,'PISO 2021'!J35+Copete!C35),2)</f>
        <v>312737294.19999999</v>
      </c>
      <c r="D35" s="44">
        <f>ROUND(+IF('PART 2025'!$F$5&lt;1,'PISO 2021'!Q35*'PART 2025'!$D$5,'PISO 2021'!K35+Copete!D35),2)</f>
        <v>46355278.119999997</v>
      </c>
      <c r="E35" s="44">
        <f>ROUND('Art.14 Frac.III'!O35,2)</f>
        <v>7617228.4400000004</v>
      </c>
      <c r="F35" s="44">
        <f>ROUND(+IF('PART 2025'!$F$6&lt;1,'PISO 2021'!Q35*'PART 2025'!$D$6,'PISO 2021'!L35+Copete!E35),2)</f>
        <v>10434607.98</v>
      </c>
      <c r="G35" s="44">
        <f>ROUND(+IF('PART 2025'!$F$7&lt;1,'PISO 2021'!Q35*'PART 2025'!$D$7,'PISO 2021'!M35+Copete!F35),2)</f>
        <v>23942056.789999999</v>
      </c>
      <c r="H35" s="44">
        <f>ROUND(+IF('PART 2025'!$F$8&lt;1,'PISO 2021'!Q35*'PART 2025'!$D$8,'PISO 2021'!N35+Copete!G35),2)</f>
        <v>11118142.99</v>
      </c>
      <c r="I35" s="44">
        <f>ROUND(+IF('PART 2025'!$F$9&lt;1,'PISO 2021'!Q35*'PART 2025'!$D$9,'PISO 2021'!O35+Copete!H35),2)</f>
        <v>1462769.34</v>
      </c>
      <c r="J35" s="44">
        <f>ROUND('COEF Art 14 F II'!K37,2)</f>
        <v>24567420.120000001</v>
      </c>
      <c r="K35" s="44">
        <f>ROUND('ISR BI'!E34,2)</f>
        <v>7770368.2999999998</v>
      </c>
      <c r="L35" s="136">
        <f t="shared" si="0"/>
        <v>446005166.28000003</v>
      </c>
    </row>
    <row r="36" spans="1:12">
      <c r="A36" s="69">
        <v>43</v>
      </c>
      <c r="B36" s="135" t="s">
        <v>21</v>
      </c>
      <c r="C36" s="44">
        <f>ROUND(+IF('PART 2025'!$F$4&lt;1,'PISO 2021'!Q36*'PART 2025'!$D$4,'PISO 2021'!J36+Copete!C36),2)</f>
        <v>46080022.710000001</v>
      </c>
      <c r="D36" s="44">
        <f>ROUND(+IF('PART 2025'!$F$5&lt;1,'PISO 2021'!Q36*'PART 2025'!$D$5,'PISO 2021'!K36+Copete!D36),2)</f>
        <v>6643228.7400000002</v>
      </c>
      <c r="E36" s="44">
        <f>ROUND('Art.14 Frac.III'!O36,2)</f>
        <v>24737574.02</v>
      </c>
      <c r="F36" s="44">
        <f>ROUND(+IF('PART 2025'!$F$6&lt;1,'PISO 2021'!Q36*'PART 2025'!$D$6,'PISO 2021'!L36+Copete!E36),2)</f>
        <v>1540920.58</v>
      </c>
      <c r="G36" s="44">
        <f>ROUND(+IF('PART 2025'!$F$7&lt;1,'PISO 2021'!Q36*'PART 2025'!$D$7,'PISO 2021'!M36+Copete!F36),2)</f>
        <v>3207662.84</v>
      </c>
      <c r="H36" s="44">
        <f>ROUND(+IF('PART 2025'!$F$8&lt;1,'PISO 2021'!Q36*'PART 2025'!$D$8,'PISO 2021'!N36+Copete!G36),2)</f>
        <v>1514487.15</v>
      </c>
      <c r="I36" s="44">
        <f>ROUND(+IF('PART 2025'!$F$9&lt;1,'PISO 2021'!Q36*'PART 2025'!$D$9,'PISO 2021'!O36+Copete!H36),2)</f>
        <v>236210.22</v>
      </c>
      <c r="J36" s="44">
        <f>ROUND('COEF Art 14 F II'!K38,2)</f>
        <v>656749.14</v>
      </c>
      <c r="K36" s="44">
        <f>ROUND('ISR BI'!E35,2)</f>
        <v>24186.31</v>
      </c>
      <c r="L36" s="136">
        <f t="shared" si="0"/>
        <v>84641041.710000008</v>
      </c>
    </row>
    <row r="37" spans="1:12">
      <c r="A37" s="69">
        <v>44</v>
      </c>
      <c r="B37" s="135" t="s">
        <v>22</v>
      </c>
      <c r="C37" s="44">
        <f>ROUND(+IF('PART 2025'!$F$4&lt;1,'PISO 2021'!Q37*'PART 2025'!$D$4,'PISO 2021'!J37+Copete!C37),2)</f>
        <v>150186256.11000001</v>
      </c>
      <c r="D37" s="44">
        <f>ROUND(+IF('PART 2025'!$F$5&lt;1,'PISO 2021'!Q37*'PART 2025'!$D$5,'PISO 2021'!K37+Copete!D37),2)</f>
        <v>21329022.18</v>
      </c>
      <c r="E37" s="44">
        <f>ROUND('Art.14 Frac.III'!O37,2)</f>
        <v>5519586.54</v>
      </c>
      <c r="F37" s="44">
        <f>ROUND(+IF('PART 2025'!$F$6&lt;1,'PISO 2021'!Q37*'PART 2025'!$D$6,'PISO 2021'!L37+Copete!E37),2)</f>
        <v>5028188.17</v>
      </c>
      <c r="G37" s="44">
        <f>ROUND(+IF('PART 2025'!$F$7&lt;1,'PISO 2021'!Q37*'PART 2025'!$D$7,'PISO 2021'!M37+Copete!F37),2)</f>
        <v>9901747.7799999993</v>
      </c>
      <c r="H37" s="44">
        <f>ROUND(+IF('PART 2025'!$F$8&lt;1,'PISO 2021'!Q37*'PART 2025'!$D$8,'PISO 2021'!N37+Copete!G37),2)</f>
        <v>4722418.28</v>
      </c>
      <c r="I37" s="44">
        <f>ROUND(+IF('PART 2025'!$F$9&lt;1,'PISO 2021'!Q37*'PART 2025'!$D$9,'PISO 2021'!O37+Copete!H37),2)</f>
        <v>805586.77</v>
      </c>
      <c r="J37" s="44">
        <f>ROUND('COEF Art 14 F II'!K39,2)</f>
        <v>4350188.2300000004</v>
      </c>
      <c r="K37" s="44">
        <f>ROUND('ISR BI'!E36,2)</f>
        <v>620349.84</v>
      </c>
      <c r="L37" s="136">
        <f t="shared" si="0"/>
        <v>202463343.90000001</v>
      </c>
    </row>
    <row r="38" spans="1:12">
      <c r="A38" s="69">
        <v>46</v>
      </c>
      <c r="B38" s="135" t="s">
        <v>126</v>
      </c>
      <c r="C38" s="44">
        <f>ROUND(+IF('PART 2025'!$F$4&lt;1,'PISO 2021'!Q38*'PART 2025'!$D$4,'PISO 2021'!J38+Copete!C38),2)</f>
        <v>31177546.489999998</v>
      </c>
      <c r="D38" s="44">
        <f>ROUND(+IF('PART 2025'!$F$5&lt;1,'PISO 2021'!Q38*'PART 2025'!$D$5,'PISO 2021'!K38+Copete!D38),2)</f>
        <v>4410957.1900000004</v>
      </c>
      <c r="E38" s="44">
        <f>ROUND('Art.14 Frac.III'!O38,2)</f>
        <v>8555040.2400000002</v>
      </c>
      <c r="F38" s="44">
        <f>ROUND(+IF('PART 2025'!$F$6&lt;1,'PISO 2021'!Q38*'PART 2025'!$D$6,'PISO 2021'!L38+Copete!E38),2)</f>
        <v>1044123.44</v>
      </c>
      <c r="G38" s="44">
        <f>ROUND(+IF('PART 2025'!$F$7&lt;1,'PISO 2021'!Q38*'PART 2025'!$D$7,'PISO 2021'!M38+Copete!F38),2)</f>
        <v>2026786.88</v>
      </c>
      <c r="H38" s="44">
        <f>ROUND(+IF('PART 2025'!$F$8&lt;1,'PISO 2021'!Q38*'PART 2025'!$D$8,'PISO 2021'!N38+Copete!G38),2)</f>
        <v>969229.68</v>
      </c>
      <c r="I38" s="44">
        <f>ROUND(+IF('PART 2025'!$F$9&lt;1,'PISO 2021'!Q38*'PART 2025'!$D$9,'PISO 2021'!O38+Copete!H38),2)</f>
        <v>169090.88</v>
      </c>
      <c r="J38" s="44">
        <f>ROUND('COEF Art 14 F II'!K40,2)</f>
        <v>393893.32</v>
      </c>
      <c r="K38" s="44">
        <f>ROUND('ISR BI'!E37,2)</f>
        <v>665326.1</v>
      </c>
      <c r="L38" s="136">
        <f t="shared" si="0"/>
        <v>49411994.220000006</v>
      </c>
    </row>
    <row r="39" spans="1:12">
      <c r="A39" s="69">
        <v>49</v>
      </c>
      <c r="B39" s="135" t="s">
        <v>23</v>
      </c>
      <c r="C39" s="44">
        <f>ROUND(+IF('PART 2025'!$F$4&lt;1,'PISO 2021'!Q39*'PART 2025'!$D$4,'PISO 2021'!J39+Copete!C39),2)</f>
        <v>25137913.309999999</v>
      </c>
      <c r="D39" s="44">
        <f>ROUND(+IF('PART 2025'!$F$5&lt;1,'PISO 2021'!Q39*'PART 2025'!$D$5,'PISO 2021'!K39+Copete!D39),2)</f>
        <v>3460361.65</v>
      </c>
      <c r="E39" s="44">
        <f>ROUND('Art.14 Frac.III'!O39,2)</f>
        <v>5830831.1399999997</v>
      </c>
      <c r="F39" s="44">
        <f>ROUND(+IF('PART 2025'!$F$6&lt;1,'PISO 2021'!Q39*'PART 2025'!$D$6,'PISO 2021'!L39+Copete!E39),2)</f>
        <v>843628.03</v>
      </c>
      <c r="G39" s="44">
        <f>ROUND(+IF('PART 2025'!$F$7&lt;1,'PISO 2021'!Q39*'PART 2025'!$D$7,'PISO 2021'!M39+Copete!F39),2)</f>
        <v>1469612.69</v>
      </c>
      <c r="H39" s="44">
        <f>ROUND(+IF('PART 2025'!$F$8&lt;1,'PISO 2021'!Q39*'PART 2025'!$D$8,'PISO 2021'!N39+Copete!G39),2)</f>
        <v>717872.6</v>
      </c>
      <c r="I39" s="44">
        <f>ROUND(+IF('PART 2025'!$F$9&lt;1,'PISO 2021'!Q39*'PART 2025'!$D$9,'PISO 2021'!O39+Copete!H39),2)</f>
        <v>146966.93</v>
      </c>
      <c r="J39" s="44">
        <f>ROUND('COEF Art 14 F II'!K41,2)</f>
        <v>99488.79</v>
      </c>
      <c r="K39" s="44">
        <f>ROUND('ISR BI'!E38,2)</f>
        <v>5581.33</v>
      </c>
      <c r="L39" s="136">
        <f t="shared" si="0"/>
        <v>37712256.469999991</v>
      </c>
    </row>
    <row r="40" spans="1:12">
      <c r="A40" s="69">
        <v>48</v>
      </c>
      <c r="B40" s="135" t="s">
        <v>24</v>
      </c>
      <c r="C40" s="44">
        <f>ROUND(+IF('PART 2025'!$F$4&lt;1,'PISO 2021'!Q40*'PART 2025'!$D$4,'PISO 2021'!J40+Copete!C40),2)</f>
        <v>34627323.280000001</v>
      </c>
      <c r="D40" s="44">
        <f>ROUND(+IF('PART 2025'!$F$5&lt;1,'PISO 2021'!Q40*'PART 2025'!$D$5,'PISO 2021'!K40+Copete!D40),2)</f>
        <v>4946361.3</v>
      </c>
      <c r="E40" s="44">
        <f>ROUND('Art.14 Frac.III'!O40,2)</f>
        <v>2156040.52</v>
      </c>
      <c r="F40" s="44">
        <f>ROUND(+IF('PART 2025'!$F$6&lt;1,'PISO 2021'!Q40*'PART 2025'!$D$6,'PISO 2021'!L40+Copete!E40),2)</f>
        <v>1158783.6599999999</v>
      </c>
      <c r="G40" s="44">
        <f>ROUND(+IF('PART 2025'!$F$7&lt;1,'PISO 2021'!Q40*'PART 2025'!$D$7,'PISO 2021'!M40+Copete!F40),2)</f>
        <v>2332085.5299999998</v>
      </c>
      <c r="H40" s="44">
        <f>ROUND(+IF('PART 2025'!$F$8&lt;1,'PISO 2021'!Q40*'PART 2025'!$D$8,'PISO 2021'!N40+Copete!G40),2)</f>
        <v>1107795.6000000001</v>
      </c>
      <c r="I40" s="44">
        <f>ROUND(+IF('PART 2025'!$F$9&lt;1,'PISO 2021'!Q40*'PART 2025'!$D$9,'PISO 2021'!O40+Copete!H40),2)</f>
        <v>182564.81</v>
      </c>
      <c r="J40" s="44">
        <f>ROUND('COEF Art 14 F II'!K42,2)</f>
        <v>587853.93000000005</v>
      </c>
      <c r="K40" s="44">
        <f>ROUND('ISR BI'!E39,2)</f>
        <v>385.16</v>
      </c>
      <c r="L40" s="136">
        <f t="shared" si="0"/>
        <v>47099193.789999999</v>
      </c>
    </row>
    <row r="41" spans="1:12">
      <c r="A41" s="69">
        <v>47</v>
      </c>
      <c r="B41" s="135" t="s">
        <v>25</v>
      </c>
      <c r="C41" s="44">
        <f>ROUND(+IF('PART 2025'!$F$4&lt;1,'PISO 2021'!Q41*'PART 2025'!$D$4,'PISO 2021'!J41+Copete!C41),2)</f>
        <v>46945957.310000002</v>
      </c>
      <c r="D41" s="44">
        <f>ROUND(+IF('PART 2025'!$F$5&lt;1,'PISO 2021'!Q41*'PART 2025'!$D$5,'PISO 2021'!K41+Copete!D41),2)</f>
        <v>6694082.1299999999</v>
      </c>
      <c r="E41" s="44">
        <f>ROUND('Art.14 Frac.III'!O41,2)</f>
        <v>6063254.6399999997</v>
      </c>
      <c r="F41" s="44">
        <f>ROUND(+IF('PART 2025'!$F$6&lt;1,'PISO 2021'!Q41*'PART 2025'!$D$6,'PISO 2021'!L41+Copete!E41),2)</f>
        <v>1571239.57</v>
      </c>
      <c r="G41" s="44">
        <f>ROUND(+IF('PART 2025'!$F$7&lt;1,'PISO 2021'!Q41*'PART 2025'!$D$7,'PISO 2021'!M41+Copete!F41),2)</f>
        <v>3141277.91</v>
      </c>
      <c r="H41" s="44">
        <f>ROUND(+IF('PART 2025'!$F$8&lt;1,'PISO 2021'!Q41*'PART 2025'!$D$8,'PISO 2021'!N41+Copete!G41),2)</f>
        <v>1493990.67</v>
      </c>
      <c r="I41" s="44">
        <f>ROUND(+IF('PART 2025'!$F$9&lt;1,'PISO 2021'!Q41*'PART 2025'!$D$9,'PISO 2021'!O41+Copete!H41),2)</f>
        <v>248833.02</v>
      </c>
      <c r="J41" s="44">
        <f>ROUND('COEF Art 14 F II'!K43,2)</f>
        <v>611251.06000000006</v>
      </c>
      <c r="K41" s="44">
        <f>ROUND('ISR BI'!E40,2)</f>
        <v>15581.79</v>
      </c>
      <c r="L41" s="136">
        <f t="shared" si="0"/>
        <v>66785468.100000009</v>
      </c>
    </row>
    <row r="42" spans="1:12">
      <c r="A42" s="69">
        <v>45</v>
      </c>
      <c r="B42" s="135" t="s">
        <v>26</v>
      </c>
      <c r="C42" s="44">
        <f>ROUND(+IF('PART 2025'!$F$4&lt;1,'PISO 2021'!Q42*'PART 2025'!$D$4,'PISO 2021'!J42+Copete!C42),2)</f>
        <v>109748703.98</v>
      </c>
      <c r="D42" s="44">
        <f>ROUND(+IF('PART 2025'!$F$5&lt;1,'PISO 2021'!Q42*'PART 2025'!$D$5,'PISO 2021'!K42+Copete!D42),2)</f>
        <v>15641860.6</v>
      </c>
      <c r="E42" s="44">
        <f>ROUND('Art.14 Frac.III'!O42,2)</f>
        <v>9932218.8300000001</v>
      </c>
      <c r="F42" s="44">
        <f>ROUND(+IF('PART 2025'!$F$6&lt;1,'PISO 2021'!Q42*'PART 2025'!$D$6,'PISO 2021'!L42+Copete!E42),2)</f>
        <v>3673327.01</v>
      </c>
      <c r="G42" s="44">
        <f>ROUND(+IF('PART 2025'!$F$7&lt;1,'PISO 2021'!Q42*'PART 2025'!$D$7,'PISO 2021'!M42+Copete!F42),2)</f>
        <v>7331004.5</v>
      </c>
      <c r="H42" s="44">
        <f>ROUND(+IF('PART 2025'!$F$8&lt;1,'PISO 2021'!Q42*'PART 2025'!$D$8,'PISO 2021'!N42+Copete!G42),2)</f>
        <v>3487743.08</v>
      </c>
      <c r="I42" s="44">
        <f>ROUND(+IF('PART 2025'!$F$9&lt;1,'PISO 2021'!Q42*'PART 2025'!$D$9,'PISO 2021'!O42+Copete!H42),2)</f>
        <v>582525.81999999995</v>
      </c>
      <c r="J42" s="44">
        <f>ROUND('COEF Art 14 F II'!K44,2)</f>
        <v>3572806.63</v>
      </c>
      <c r="K42" s="44">
        <f>ROUND('ISR BI'!E41,2)</f>
        <v>2960123.73</v>
      </c>
      <c r="L42" s="136">
        <f t="shared" si="0"/>
        <v>156930314.17999998</v>
      </c>
    </row>
    <row r="43" spans="1:12">
      <c r="A43" s="69">
        <v>70</v>
      </c>
      <c r="B43" s="135" t="s">
        <v>27</v>
      </c>
      <c r="C43" s="44">
        <f>ROUND(+IF('PART 2025'!$F$4&lt;1,'PISO 2021'!Q43*'PART 2025'!$D$4,'PISO 2021'!J43+Copete!C43),2)</f>
        <v>2553214316.0799999</v>
      </c>
      <c r="D43" s="44">
        <f>ROUND(+IF('PART 2025'!$F$5&lt;1,'PISO 2021'!Q43*'PART 2025'!$D$5,'PISO 2021'!K43+Copete!D43),2)</f>
        <v>369210891.51999998</v>
      </c>
      <c r="E43" s="44">
        <f>ROUND('Art.14 Frac.III'!O43,2)</f>
        <v>0</v>
      </c>
      <c r="F43" s="44">
        <f>ROUND(+IF('PART 2025'!$F$6&lt;1,'PISO 2021'!Q43*'PART 2025'!$D$6,'PISO 2021'!L43+Copete!E43),2)</f>
        <v>85359103.569999993</v>
      </c>
      <c r="G43" s="44">
        <f>ROUND(+IF('PART 2025'!$F$7&lt;1,'PISO 2021'!Q43*'PART 2025'!$D$7,'PISO 2021'!M43+Copete!F43),2)</f>
        <v>179650330.90000001</v>
      </c>
      <c r="H43" s="44">
        <f>ROUND(+IF('PART 2025'!$F$8&lt;1,'PISO 2021'!Q43*'PART 2025'!$D$8,'PISO 2021'!N43+Copete!G43),2)</f>
        <v>84656935.409999996</v>
      </c>
      <c r="I43" s="44">
        <f>ROUND(+IF('PART 2025'!$F$9&lt;1,'PISO 2021'!Q43*'PART 2025'!$D$9,'PISO 2021'!O43+Copete!H43),2)</f>
        <v>12963991.1</v>
      </c>
      <c r="J43" s="44">
        <f>ROUND('COEF Art 14 F II'!K45,2)</f>
        <v>71724788.540000007</v>
      </c>
      <c r="K43" s="44">
        <f>ROUND('ISR BI'!E42,2)</f>
        <v>51256690.030000001</v>
      </c>
      <c r="L43" s="136">
        <f t="shared" si="0"/>
        <v>3408037047.1500001</v>
      </c>
    </row>
    <row r="44" spans="1:12">
      <c r="A44" s="69">
        <v>50</v>
      </c>
      <c r="B44" s="135" t="s">
        <v>127</v>
      </c>
      <c r="C44" s="44">
        <f>ROUND(+IF('PART 2025'!$F$4&lt;1,'PISO 2021'!Q44*'PART 2025'!$D$4,'PISO 2021'!J44+Copete!C44),2)</f>
        <v>14905861.210000001</v>
      </c>
      <c r="D44" s="44">
        <f>ROUND(+IF('PART 2025'!$F$5&lt;1,'PISO 2021'!Q44*'PART 2025'!$D$5,'PISO 2021'!K44+Copete!D44),2)</f>
        <v>2178019.12</v>
      </c>
      <c r="E44" s="44">
        <f>ROUND('Art.14 Frac.III'!O44,2)</f>
        <v>4239391.08</v>
      </c>
      <c r="F44" s="44">
        <f>ROUND(+IF('PART 2025'!$F$6&lt;1,'PISO 2021'!Q44*'PART 2025'!$D$6,'PISO 2021'!L44+Copete!E44),2)</f>
        <v>497918.09</v>
      </c>
      <c r="G44" s="44">
        <f>ROUND(+IF('PART 2025'!$F$7&lt;1,'PISO 2021'!Q44*'PART 2025'!$D$7,'PISO 2021'!M44+Copete!F44),2)</f>
        <v>1087396.55</v>
      </c>
      <c r="H44" s="44">
        <f>ROUND(+IF('PART 2025'!$F$8&lt;1,'PISO 2021'!Q44*'PART 2025'!$D$8,'PISO 2021'!N44+Copete!G44),2)</f>
        <v>509146.86</v>
      </c>
      <c r="I44" s="44">
        <f>ROUND(+IF('PART 2025'!$F$9&lt;1,'PISO 2021'!Q44*'PART 2025'!$D$9,'PISO 2021'!O44+Copete!H44),2)</f>
        <v>73191.78</v>
      </c>
      <c r="J44" s="44">
        <f>ROUND('COEF Art 14 F II'!K46,2)</f>
        <v>217328.62</v>
      </c>
      <c r="K44" s="44">
        <f>ROUND('ISR BI'!E43,2)</f>
        <v>9816.74</v>
      </c>
      <c r="L44" s="136">
        <f t="shared" si="0"/>
        <v>23718070.050000004</v>
      </c>
    </row>
    <row r="45" spans="1:12">
      <c r="A45" s="69">
        <v>51</v>
      </c>
      <c r="B45" s="135" t="s">
        <v>128</v>
      </c>
      <c r="C45" s="44">
        <f>ROUND(+IF('PART 2025'!$F$4&lt;1,'PISO 2021'!Q45*'PART 2025'!$D$4,'PISO 2021'!J45+Copete!C45),2)</f>
        <v>84551315.939999998</v>
      </c>
      <c r="D45" s="44">
        <f>ROUND(+IF('PART 2025'!$F$5&lt;1,'PISO 2021'!Q45*'PART 2025'!$D$5,'PISO 2021'!K45+Copete!D45),2)</f>
        <v>12695641.119999999</v>
      </c>
      <c r="E45" s="44">
        <f>ROUND('Art.14 Frac.III'!O45,2)</f>
        <v>14353369.07</v>
      </c>
      <c r="F45" s="44">
        <f>ROUND(+IF('PART 2025'!$F$6&lt;1,'PISO 2021'!Q45*'PART 2025'!$D$6,'PISO 2021'!L45+Copete!E45),2)</f>
        <v>2818087.08</v>
      </c>
      <c r="G45" s="44">
        <f>ROUND(+IF('PART 2025'!$F$7&lt;1,'PISO 2021'!Q45*'PART 2025'!$D$7,'PISO 2021'!M45+Copete!F45),2)</f>
        <v>6752137.04</v>
      </c>
      <c r="H45" s="44">
        <f>ROUND(+IF('PART 2025'!$F$8&lt;1,'PISO 2021'!Q45*'PART 2025'!$D$8,'PISO 2021'!N45+Copete!G45),2)</f>
        <v>3113798.41</v>
      </c>
      <c r="I45" s="44">
        <f>ROUND(+IF('PART 2025'!$F$9&lt;1,'PISO 2021'!Q45*'PART 2025'!$D$9,'PISO 2021'!O45+Copete!H45),2)</f>
        <v>377433.86</v>
      </c>
      <c r="J45" s="44">
        <f>ROUND('COEF Art 14 F II'!K47,2)</f>
        <v>8103480.9100000001</v>
      </c>
      <c r="K45" s="44">
        <f>ROUND('ISR BI'!E44,2)</f>
        <v>5443422.2199999997</v>
      </c>
      <c r="L45" s="136">
        <f t="shared" si="0"/>
        <v>138208685.65000001</v>
      </c>
    </row>
    <row r="46" spans="1:12">
      <c r="A46" s="69">
        <v>52</v>
      </c>
      <c r="B46" s="135" t="s">
        <v>129</v>
      </c>
      <c r="C46" s="44">
        <f>ROUND(+IF('PART 2025'!$F$4&lt;1,'PISO 2021'!Q46*'PART 2025'!$D$4,'PISO 2021'!J46+Copete!C46),2)</f>
        <v>25472133.07</v>
      </c>
      <c r="D46" s="44">
        <f>ROUND(+IF('PART 2025'!$F$5&lt;1,'PISO 2021'!Q46*'PART 2025'!$D$5,'PISO 2021'!K46+Copete!D46),2)</f>
        <v>3641573.38</v>
      </c>
      <c r="E46" s="44">
        <f>ROUND('Art.14 Frac.III'!O46,2)</f>
        <v>5532861.8799999999</v>
      </c>
      <c r="F46" s="44">
        <f>ROUND(+IF('PART 2025'!$F$6&lt;1,'PISO 2021'!Q46*'PART 2025'!$D$6,'PISO 2021'!L46+Copete!E46),2)</f>
        <v>852355.37</v>
      </c>
      <c r="G46" s="44">
        <f>ROUND(+IF('PART 2025'!$F$7&lt;1,'PISO 2021'!Q46*'PART 2025'!$D$7,'PISO 2021'!M46+Copete!F46),2)</f>
        <v>1720620.9</v>
      </c>
      <c r="H46" s="44">
        <f>ROUND(+IF('PART 2025'!$F$8&lt;1,'PISO 2021'!Q46*'PART 2025'!$D$8,'PISO 2021'!N46+Copete!G46),2)</f>
        <v>816882.27</v>
      </c>
      <c r="I46" s="44">
        <f>ROUND(+IF('PART 2025'!$F$9&lt;1,'PISO 2021'!Q46*'PART 2025'!$D$9,'PISO 2021'!O46+Copete!H46),2)</f>
        <v>133965.29</v>
      </c>
      <c r="J46" s="44">
        <f>ROUND('COEF Art 14 F II'!K48,2)</f>
        <v>435992.74</v>
      </c>
      <c r="K46" s="44">
        <f>ROUND('ISR BI'!E45,2)</f>
        <v>49355.46</v>
      </c>
      <c r="L46" s="136">
        <f t="shared" si="0"/>
        <v>38655740.359999999</v>
      </c>
    </row>
    <row r="47" spans="1:12">
      <c r="A47" s="69">
        <v>53</v>
      </c>
      <c r="B47" s="135" t="s">
        <v>28</v>
      </c>
      <c r="C47" s="44">
        <f>ROUND(+IF('PART 2025'!$F$4&lt;1,'PISO 2021'!Q47*'PART 2025'!$D$4,'PISO 2021'!J47+Copete!C47),2)</f>
        <v>27105461.559999999</v>
      </c>
      <c r="D47" s="44">
        <f>ROUND(+IF('PART 2025'!$F$5&lt;1,'PISO 2021'!Q47*'PART 2025'!$D$5,'PISO 2021'!K47+Copete!D47),2)</f>
        <v>3848598.57</v>
      </c>
      <c r="E47" s="44">
        <f>ROUND('Art.14 Frac.III'!O47,2)</f>
        <v>4325225.1100000003</v>
      </c>
      <c r="F47" s="44">
        <f>ROUND(+IF('PART 2025'!$F$6&lt;1,'PISO 2021'!Q47*'PART 2025'!$D$6,'PISO 2021'!L47+Copete!E47),2)</f>
        <v>907497.74</v>
      </c>
      <c r="G47" s="44">
        <f>ROUND(+IF('PART 2025'!$F$7&lt;1,'PISO 2021'!Q47*'PART 2025'!$D$7,'PISO 2021'!M47+Copete!F47),2)</f>
        <v>1785616.66</v>
      </c>
      <c r="H47" s="44">
        <f>ROUND(+IF('PART 2025'!$F$8&lt;1,'PISO 2021'!Q47*'PART 2025'!$D$8,'PISO 2021'!N47+Copete!G47),2)</f>
        <v>851740.39</v>
      </c>
      <c r="I47" s="44">
        <f>ROUND(+IF('PART 2025'!$F$9&lt;1,'PISO 2021'!Q47*'PART 2025'!$D$9,'PISO 2021'!O47+Copete!H47),2)</f>
        <v>145484.54999999999</v>
      </c>
      <c r="J47" s="44">
        <f>ROUND('COEF Art 14 F II'!K49,2)</f>
        <v>278539.15999999997</v>
      </c>
      <c r="K47" s="44">
        <f>ROUND('ISR BI'!E46,2)</f>
        <v>1792.8</v>
      </c>
      <c r="L47" s="136">
        <f t="shared" si="0"/>
        <v>39249956.539999992</v>
      </c>
    </row>
    <row r="48" spans="1:12">
      <c r="A48" s="69">
        <v>54</v>
      </c>
      <c r="B48" s="135" t="s">
        <v>29</v>
      </c>
      <c r="C48" s="44">
        <f>ROUND(+IF('PART 2025'!$F$4&lt;1,'PISO 2021'!Q48*'PART 2025'!$D$4,'PISO 2021'!J48+Copete!C48),2)</f>
        <v>76380100.989999995</v>
      </c>
      <c r="D48" s="44">
        <f>ROUND(+IF('PART 2025'!$F$5&lt;1,'PISO 2021'!Q48*'PART 2025'!$D$5,'PISO 2021'!K48+Copete!D48),2)</f>
        <v>10813757.24</v>
      </c>
      <c r="E48" s="44">
        <f>ROUND('Art.14 Frac.III'!O48,2)</f>
        <v>7631917.9400000004</v>
      </c>
      <c r="F48" s="44">
        <f>ROUND(+IF('PART 2025'!$F$6&lt;1,'PISO 2021'!Q48*'PART 2025'!$D$6,'PISO 2021'!L48+Copete!E48),2)</f>
        <v>2557798.7400000002</v>
      </c>
      <c r="G48" s="44">
        <f>ROUND(+IF('PART 2025'!$F$7&lt;1,'PISO 2021'!Q48*'PART 2025'!$D$7,'PISO 2021'!M48+Copete!F48),2)</f>
        <v>4978327.45</v>
      </c>
      <c r="H48" s="44">
        <f>ROUND(+IF('PART 2025'!$F$8&lt;1,'PISO 2021'!Q48*'PART 2025'!$D$8,'PISO 2021'!N48+Copete!G48),2)</f>
        <v>2379492.11</v>
      </c>
      <c r="I48" s="44">
        <f>ROUND(+IF('PART 2025'!$F$9&lt;1,'PISO 2021'!Q48*'PART 2025'!$D$9,'PISO 2021'!O48+Copete!H48),2)</f>
        <v>413405.09</v>
      </c>
      <c r="J48" s="44">
        <f>ROUND('COEF Art 14 F II'!K50,2)</f>
        <v>1839108.97</v>
      </c>
      <c r="K48" s="44">
        <f>ROUND('ISR BI'!E47,2)</f>
        <v>430069.55</v>
      </c>
      <c r="L48" s="136">
        <f t="shared" si="0"/>
        <v>107423978.07999998</v>
      </c>
    </row>
    <row r="49" spans="1:12">
      <c r="A49" s="69">
        <v>55</v>
      </c>
      <c r="B49" s="135" t="s">
        <v>30</v>
      </c>
      <c r="C49" s="44">
        <f>ROUND(+IF('PART 2025'!$F$4&lt;1,'PISO 2021'!Q49*'PART 2025'!$D$4,'PISO 2021'!J49+Copete!C49),2)</f>
        <v>86533062.200000003</v>
      </c>
      <c r="D49" s="44">
        <f>ROUND(+IF('PART 2025'!$F$5&lt;1,'PISO 2021'!Q49*'PART 2025'!$D$5,'PISO 2021'!K49+Copete!D49),2)</f>
        <v>12655100.060000001</v>
      </c>
      <c r="E49" s="44">
        <f>ROUND('Art.14 Frac.III'!O49,2)</f>
        <v>4212921.88</v>
      </c>
      <c r="F49" s="44">
        <f>ROUND(+IF('PART 2025'!$F$6&lt;1,'PISO 2021'!Q49*'PART 2025'!$D$6,'PISO 2021'!L49+Copete!E49),2)</f>
        <v>2890362.93</v>
      </c>
      <c r="G49" s="44">
        <f>ROUND(+IF('PART 2025'!$F$7&lt;1,'PISO 2021'!Q49*'PART 2025'!$D$7,'PISO 2021'!M49+Copete!F49),2)</f>
        <v>6331561.5300000003</v>
      </c>
      <c r="H49" s="44">
        <f>ROUND(+IF('PART 2025'!$F$8&lt;1,'PISO 2021'!Q49*'PART 2025'!$D$8,'PISO 2021'!N49+Copete!G49),2)</f>
        <v>2963055.07</v>
      </c>
      <c r="I49" s="44">
        <f>ROUND(+IF('PART 2025'!$F$9&lt;1,'PISO 2021'!Q49*'PART 2025'!$D$9,'PISO 2021'!O49+Copete!H49),2)</f>
        <v>423679.85</v>
      </c>
      <c r="J49" s="44">
        <f>ROUND('COEF Art 14 F II'!K51,2)</f>
        <v>4918527.34</v>
      </c>
      <c r="K49" s="44">
        <f>ROUND('ISR BI'!E48,2)</f>
        <v>9973374.1600000001</v>
      </c>
      <c r="L49" s="136">
        <f t="shared" si="0"/>
        <v>130901645.02</v>
      </c>
    </row>
    <row r="50" spans="1:12">
      <c r="A50" s="69">
        <v>58</v>
      </c>
      <c r="B50" s="135" t="s">
        <v>130</v>
      </c>
      <c r="C50" s="44">
        <f>ROUND(+IF('PART 2025'!$F$4&lt;1,'PISO 2021'!Q50*'PART 2025'!$D$4,'PISO 2021'!J50+Copete!C50),2)</f>
        <v>674383220.84000003</v>
      </c>
      <c r="D50" s="44">
        <f>ROUND(+IF('PART 2025'!$F$5&lt;1,'PISO 2021'!Q50*'PART 2025'!$D$5,'PISO 2021'!K50+Copete!D50),2)</f>
        <v>97054653.459999993</v>
      </c>
      <c r="E50" s="44">
        <f>ROUND('Art.14 Frac.III'!O50,2)</f>
        <v>20388273.850000001</v>
      </c>
      <c r="F50" s="44">
        <f>ROUND(+IF('PART 2025'!$F$6&lt;1,'PISO 2021'!Q50*'PART 2025'!$D$6,'PISO 2021'!L50+Copete!E50),2)</f>
        <v>22554559.199999999</v>
      </c>
      <c r="G50" s="44">
        <f>ROUND(+IF('PART 2025'!$F$7&lt;1,'PISO 2021'!Q50*'PART 2025'!$D$7,'PISO 2021'!M50+Copete!F50),2)</f>
        <v>46654450.93</v>
      </c>
      <c r="H50" s="44">
        <f>ROUND(+IF('PART 2025'!$F$8&lt;1,'PISO 2021'!Q50*'PART 2025'!$D$8,'PISO 2021'!N50+Copete!G50),2)</f>
        <v>22052561.75</v>
      </c>
      <c r="I50" s="44">
        <f>ROUND(+IF('PART 2025'!$F$9&lt;1,'PISO 2021'!Q50*'PART 2025'!$D$9,'PISO 2021'!O50+Copete!H50),2)</f>
        <v>3475674.36</v>
      </c>
      <c r="J50" s="44">
        <f>ROUND('COEF Art 14 F II'!K52,2)</f>
        <v>22735458.98</v>
      </c>
      <c r="K50" s="44">
        <f>ROUND('ISR BI'!E49,2)</f>
        <v>8165371.8799999999</v>
      </c>
      <c r="L50" s="136">
        <f t="shared" si="0"/>
        <v>917464225.25000012</v>
      </c>
    </row>
    <row r="51" spans="1:12">
      <c r="A51" s="69">
        <v>31</v>
      </c>
      <c r="B51" s="135" t="s">
        <v>131</v>
      </c>
      <c r="C51" s="44">
        <f>ROUND(+IF('PART 2025'!$F$4&lt;1,'PISO 2021'!Q51*'PART 2025'!$D$4,'PISO 2021'!J51+Copete!C51),2)</f>
        <v>1319407814.23</v>
      </c>
      <c r="D51" s="44">
        <f>ROUND(+IF('PART 2025'!$F$5&lt;1,'PISO 2021'!Q51*'PART 2025'!$D$5,'PISO 2021'!K51+Copete!D51),2)</f>
        <v>190169240.00999999</v>
      </c>
      <c r="E51" s="44">
        <f>ROUND('Art.14 Frac.III'!O51,2)</f>
        <v>39062060.799999997</v>
      </c>
      <c r="F51" s="44">
        <f>ROUND(+IF('PART 2025'!$F$6&lt;1,'PISO 2021'!Q51*'PART 2025'!$D$6,'PISO 2021'!L51+Copete!E51),2)</f>
        <v>44121978.399999999</v>
      </c>
      <c r="G51" s="44">
        <f>ROUND(+IF('PART 2025'!$F$7&lt;1,'PISO 2021'!Q51*'PART 2025'!$D$7,'PISO 2021'!M51+Copete!F51),2)</f>
        <v>91765958.069999993</v>
      </c>
      <c r="H51" s="44">
        <f>ROUND(+IF('PART 2025'!$F$8&lt;1,'PISO 2021'!Q51*'PART 2025'!$D$8,'PISO 2021'!N51+Copete!G51),2)</f>
        <v>43333747.200000003</v>
      </c>
      <c r="I51" s="44">
        <f>ROUND(+IF('PART 2025'!$F$9&lt;1,'PISO 2021'!Q51*'PART 2025'!$D$9,'PISO 2021'!O51+Copete!H51),2)</f>
        <v>6768500.71</v>
      </c>
      <c r="J51" s="44">
        <f>ROUND('COEF Art 14 F II'!K53,2)</f>
        <v>17910544.789999999</v>
      </c>
      <c r="K51" s="44">
        <f>ROUND('ISR BI'!E50,2)</f>
        <v>36849212.560000002</v>
      </c>
      <c r="L51" s="136">
        <f t="shared" si="0"/>
        <v>1789389056.77</v>
      </c>
    </row>
    <row r="52" spans="1:12">
      <c r="A52" s="69">
        <v>57</v>
      </c>
      <c r="B52" s="135" t="s">
        <v>31</v>
      </c>
      <c r="C52" s="44">
        <f>ROUND(+IF('PART 2025'!$F$4&lt;1,'PISO 2021'!Q52*'PART 2025'!$D$4,'PISO 2021'!J52+Copete!C52),2)</f>
        <v>391615683.85000002</v>
      </c>
      <c r="D52" s="44">
        <f>ROUND(+IF('PART 2025'!$F$5&lt;1,'PISO 2021'!Q52*'PART 2025'!$D$5,'PISO 2021'!K52+Copete!D52),2)</f>
        <v>57066723.579999998</v>
      </c>
      <c r="E52" s="44">
        <f>ROUND('Art.14 Frac.III'!O52,2)</f>
        <v>13713067.640000001</v>
      </c>
      <c r="F52" s="44">
        <f>ROUND(+IF('PART 2025'!$F$6&lt;1,'PISO 2021'!Q52*'PART 2025'!$D$6,'PISO 2021'!L52+Copete!E52),2)</f>
        <v>13084463.92</v>
      </c>
      <c r="G52" s="44">
        <f>ROUND(+IF('PART 2025'!$F$7&lt;1,'PISO 2021'!Q52*'PART 2025'!$D$7,'PISO 2021'!M52+Copete!F52),2)</f>
        <v>28302525.489999998</v>
      </c>
      <c r="H52" s="44">
        <f>ROUND(+IF('PART 2025'!$F$8&lt;1,'PISO 2021'!Q52*'PART 2025'!$D$8,'PISO 2021'!N52+Copete!G52),2)</f>
        <v>13273718.92</v>
      </c>
      <c r="I52" s="44">
        <f>ROUND(+IF('PART 2025'!$F$9&lt;1,'PISO 2021'!Q52*'PART 2025'!$D$9,'PISO 2021'!O52+Copete!H52),2)</f>
        <v>1940138.32</v>
      </c>
      <c r="J52" s="44">
        <f>ROUND('COEF Art 14 F II'!K54,2)</f>
        <v>17205425.260000002</v>
      </c>
      <c r="K52" s="44">
        <f>ROUND('ISR BI'!E51,2)</f>
        <v>23710525.84</v>
      </c>
      <c r="L52" s="136">
        <f t="shared" si="0"/>
        <v>559912272.82000005</v>
      </c>
    </row>
    <row r="53" spans="1:12">
      <c r="A53" s="69">
        <v>56</v>
      </c>
      <c r="B53" s="135" t="s">
        <v>32</v>
      </c>
      <c r="C53" s="44">
        <f>ROUND(+IF('PART 2025'!$F$4&lt;1,'PISO 2021'!Q53*'PART 2025'!$D$4,'PISO 2021'!J53+Copete!C53),2)</f>
        <v>128836029.8</v>
      </c>
      <c r="D53" s="44">
        <f>ROUND(+IF('PART 2025'!$F$5&lt;1,'PISO 2021'!Q53*'PART 2025'!$D$5,'PISO 2021'!K53+Copete!D53),2)</f>
        <v>18807889.629999999</v>
      </c>
      <c r="E53" s="44">
        <f>ROUND('Art.14 Frac.III'!O53,2)</f>
        <v>11854042.529999999</v>
      </c>
      <c r="F53" s="44">
        <f>ROUND(+IF('PART 2025'!$F$6&lt;1,'PISO 2021'!Q53*'PART 2025'!$D$6,'PISO 2021'!L53+Copete!E53),2)</f>
        <v>4303982.6500000004</v>
      </c>
      <c r="G53" s="44">
        <f>ROUND(+IF('PART 2025'!$F$7&lt;1,'PISO 2021'!Q53*'PART 2025'!$D$7,'PISO 2021'!M53+Copete!F53),2)</f>
        <v>9368899.6199999992</v>
      </c>
      <c r="H53" s="44">
        <f>ROUND(+IF('PART 2025'!$F$8&lt;1,'PISO 2021'!Q53*'PART 2025'!$D$8,'PISO 2021'!N53+Copete!G53),2)</f>
        <v>4389194.18</v>
      </c>
      <c r="I53" s="44">
        <f>ROUND(+IF('PART 2025'!$F$9&lt;1,'PISO 2021'!Q53*'PART 2025'!$D$9,'PISO 2021'!O53+Copete!H53),2)</f>
        <v>634545.57999999996</v>
      </c>
      <c r="J53" s="44">
        <f>ROUND('COEF Art 14 F II'!K55,2)</f>
        <v>3452054.48</v>
      </c>
      <c r="K53" s="44">
        <f>ROUND('ISR BI'!E52,2)</f>
        <v>9001594.7100000009</v>
      </c>
      <c r="L53" s="136">
        <f t="shared" si="0"/>
        <v>190648233.18000004</v>
      </c>
    </row>
    <row r="54" spans="1:12">
      <c r="A54" s="69">
        <v>59</v>
      </c>
      <c r="B54" s="135" t="s">
        <v>33</v>
      </c>
      <c r="C54" s="44">
        <f>ROUND(+IF('PART 2025'!$F$4&lt;1,'PISO 2021'!Q54*'PART 2025'!$D$4,'PISO 2021'!J54+Copete!C54),2)</f>
        <v>25352466.460000001</v>
      </c>
      <c r="D54" s="44">
        <f>ROUND(+IF('PART 2025'!$F$5&lt;1,'PISO 2021'!Q54*'PART 2025'!$D$5,'PISO 2021'!K54+Copete!D54),2)</f>
        <v>3691878.73</v>
      </c>
      <c r="E54" s="44">
        <f>ROUND('Art.14 Frac.III'!O54,2)</f>
        <v>15780804.029999999</v>
      </c>
      <c r="F54" s="44">
        <f>ROUND(+IF('PART 2025'!$F$6&lt;1,'PISO 2021'!Q54*'PART 2025'!$D$6,'PISO 2021'!L54+Copete!E54),2)</f>
        <v>847109.99</v>
      </c>
      <c r="G54" s="44">
        <f>ROUND(+IF('PART 2025'!$F$7&lt;1,'PISO 2021'!Q54*'PART 2025'!$D$7,'PISO 2021'!M54+Copete!F54),2)</f>
        <v>1827948.32</v>
      </c>
      <c r="H54" s="44">
        <f>ROUND(+IF('PART 2025'!$F$8&lt;1,'PISO 2021'!Q54*'PART 2025'!$D$8,'PISO 2021'!N54+Copete!G54),2)</f>
        <v>857652.09</v>
      </c>
      <c r="I54" s="44">
        <f>ROUND(+IF('PART 2025'!$F$9&lt;1,'PISO 2021'!Q54*'PART 2025'!$D$9,'PISO 2021'!O54+Copete!H54),2)</f>
        <v>125879.03</v>
      </c>
      <c r="J54" s="44">
        <f>ROUND('COEF Art 14 F II'!K56,2)</f>
        <v>354180.28</v>
      </c>
      <c r="K54" s="44">
        <f>ROUND('ISR BI'!E53,2)</f>
        <v>65767.94</v>
      </c>
      <c r="L54" s="136">
        <f t="shared" si="0"/>
        <v>48903686.870000005</v>
      </c>
    </row>
    <row r="55" spans="1:12">
      <c r="A55" s="69">
        <v>60</v>
      </c>
      <c r="B55" s="135" t="s">
        <v>34</v>
      </c>
      <c r="C55" s="44">
        <f>ROUND(+IF('PART 2025'!$F$4&lt;1,'PISO 2021'!Q55*'PART 2025'!$D$4,'PISO 2021'!J55+Copete!C55),2)</f>
        <v>29409166.359999999</v>
      </c>
      <c r="D55" s="44">
        <f>ROUND(+IF('PART 2025'!$F$5&lt;1,'PISO 2021'!Q55*'PART 2025'!$D$5,'PISO 2021'!K55+Copete!D55),2)</f>
        <v>4204984.8099999996</v>
      </c>
      <c r="E55" s="44">
        <f>ROUND('Art.14 Frac.III'!O55,2)</f>
        <v>3058205.32</v>
      </c>
      <c r="F55" s="44">
        <f>ROUND(+IF('PART 2025'!$F$6&lt;1,'PISO 2021'!Q55*'PART 2025'!$D$6,'PISO 2021'!L55+Copete!E55),2)</f>
        <v>984087.1</v>
      </c>
      <c r="G55" s="44">
        <f>ROUND(+IF('PART 2025'!$F$7&lt;1,'PISO 2021'!Q55*'PART 2025'!$D$7,'PISO 2021'!M55+Copete!F55),2)</f>
        <v>1987524.95</v>
      </c>
      <c r="H55" s="44">
        <f>ROUND(+IF('PART 2025'!$F$8&lt;1,'PISO 2021'!Q55*'PART 2025'!$D$8,'PISO 2021'!N55+Copete!G55),2)</f>
        <v>943512.89</v>
      </c>
      <c r="I55" s="44">
        <f>ROUND(+IF('PART 2025'!$F$9&lt;1,'PISO 2021'!Q55*'PART 2025'!$D$9,'PISO 2021'!O55+Copete!H55),2)</f>
        <v>154609.20000000001</v>
      </c>
      <c r="J55" s="44">
        <f>ROUND('COEF Art 14 F II'!K57,2)</f>
        <v>378302.47</v>
      </c>
      <c r="K55" s="44">
        <f>ROUND('ISR BI'!E54,2)</f>
        <v>58190.86</v>
      </c>
      <c r="L55" s="136">
        <f t="shared" si="0"/>
        <v>41178583.960000008</v>
      </c>
    </row>
    <row r="56" spans="1:12">
      <c r="B56" s="137" t="s">
        <v>35</v>
      </c>
      <c r="C56" s="138">
        <f t="shared" ref="C56:K56" si="1">SUM(C5:C55)</f>
        <v>9753536762.3699989</v>
      </c>
      <c r="D56" s="138">
        <f t="shared" si="1"/>
        <v>1410903132.01</v>
      </c>
      <c r="E56" s="138">
        <f t="shared" si="1"/>
        <v>514903884.02999985</v>
      </c>
      <c r="F56" s="138">
        <f t="shared" si="1"/>
        <v>326071563.16000003</v>
      </c>
      <c r="G56" s="138">
        <f t="shared" si="1"/>
        <v>687104532.55999994</v>
      </c>
      <c r="H56" s="138">
        <f t="shared" si="1"/>
        <v>323715804.41000003</v>
      </c>
      <c r="I56" s="138">
        <f t="shared" si="1"/>
        <v>49470638.420000002</v>
      </c>
      <c r="J56" s="138">
        <f t="shared" si="1"/>
        <v>338209995.98000014</v>
      </c>
      <c r="K56" s="138">
        <f t="shared" si="1"/>
        <v>247603132.77000004</v>
      </c>
      <c r="L56" s="139">
        <f>SUM(L5:L55)</f>
        <v>13651519445.710001</v>
      </c>
    </row>
    <row r="57" spans="1:12" ht="16.5" customHeight="1">
      <c r="B57" s="18"/>
      <c r="C57" s="45"/>
      <c r="D57" s="48"/>
      <c r="E57" s="48"/>
      <c r="F57" s="36"/>
      <c r="K57" s="44"/>
    </row>
    <row r="58" spans="1:12">
      <c r="B58" s="23"/>
      <c r="C58" s="46"/>
    </row>
    <row r="59" spans="1:12">
      <c r="B59" s="23"/>
      <c r="C59" s="46"/>
    </row>
    <row r="60" spans="1:12" ht="16.5" customHeight="1"/>
  </sheetData>
  <mergeCells count="3">
    <mergeCell ref="B1:L1"/>
    <mergeCell ref="B2:L2"/>
    <mergeCell ref="B3:L3"/>
  </mergeCells>
  <printOptions horizontalCentered="1"/>
  <pageMargins left="0.19685039370078741" right="0.19685039370078741" top="0.74803149606299213" bottom="0.59055118110236227" header="0.35433070866141736" footer="0.59055118110236227"/>
  <pageSetup scale="90" orientation="portrait" r:id="rId1"/>
  <headerFooter alignWithMargins="0">
    <oddHeader>&amp;LAnexo II&amp;CSUBSECRETARÍA DE POLÍTICA DE INGRESOS, COORDINACIÓN DE PLANEACIÓN HACENDARIA
CÁLCULO DE DISTRIBUCIÓN DE PARTICIPACIONES ESTIMADAS 2025</oddHeader>
    <oddFooter>&amp;LLas sumas puede no coincidr por el cuestiones de redondeo
Los montos corresponden a la estimación de cálculo con las variables y presupuesto actual, por lo cual no significa compromiso de pago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5"/>
  <sheetViews>
    <sheetView showGridLines="0" zoomScaleNormal="100" workbookViewId="0">
      <selection activeCell="AC3" sqref="AC3"/>
    </sheetView>
  </sheetViews>
  <sheetFormatPr baseColWidth="10" defaultColWidth="9.7109375" defaultRowHeight="12.75"/>
  <cols>
    <col min="1" max="1" width="3" style="2" bestFit="1" customWidth="1"/>
    <col min="2" max="2" width="26.85546875" style="2" customWidth="1"/>
    <col min="3" max="6" width="15.28515625" style="2" customWidth="1"/>
    <col min="7" max="7" width="14.5703125" style="176" customWidth="1"/>
    <col min="8" max="8" width="13.85546875" style="2" customWidth="1"/>
    <col min="9" max="9" width="13.85546875" style="176" customWidth="1"/>
    <col min="10" max="10" width="13.85546875" style="9" customWidth="1"/>
    <col min="11" max="11" width="13.85546875" style="2" customWidth="1"/>
    <col min="12" max="12" width="13.85546875" style="176" customWidth="1"/>
    <col min="13" max="13" width="13.85546875" style="9" customWidth="1"/>
    <col min="14" max="14" width="13.85546875" style="176" customWidth="1"/>
    <col min="15" max="16" width="15.28515625" style="2" customWidth="1"/>
    <col min="17" max="18" width="14.5703125" style="2" customWidth="1"/>
    <col min="19" max="20" width="14.5703125" style="176" customWidth="1"/>
    <col min="21" max="25" width="14.5703125" style="2" customWidth="1"/>
    <col min="26" max="28" width="15.28515625" style="2" customWidth="1"/>
    <col min="29" max="29" width="16.85546875" style="2" customWidth="1"/>
    <col min="30" max="30" width="14.5703125" style="176" customWidth="1"/>
    <col min="31" max="31" width="13.140625" style="62" bestFit="1" customWidth="1"/>
    <col min="32" max="32" width="13" style="2" customWidth="1"/>
    <col min="33" max="33" width="11.140625" style="2" bestFit="1" customWidth="1"/>
    <col min="34" max="16384" width="9.7109375" style="2"/>
  </cols>
  <sheetData>
    <row r="1" spans="1:32" ht="15.75">
      <c r="C1" s="218" t="s">
        <v>79</v>
      </c>
      <c r="D1" s="218"/>
      <c r="E1" s="218"/>
      <c r="F1" s="218"/>
      <c r="G1" s="218"/>
      <c r="H1" s="219" t="s">
        <v>43</v>
      </c>
      <c r="I1" s="219"/>
      <c r="J1" s="219"/>
      <c r="K1" s="219"/>
      <c r="L1" s="219"/>
      <c r="M1" s="219"/>
      <c r="N1" s="219"/>
      <c r="O1" s="219" t="s">
        <v>69</v>
      </c>
      <c r="P1" s="219"/>
      <c r="Q1" s="219"/>
      <c r="R1" s="219"/>
      <c r="S1" s="219"/>
      <c r="T1" s="219"/>
      <c r="U1" s="218" t="s">
        <v>69</v>
      </c>
      <c r="V1" s="218"/>
      <c r="W1" s="218"/>
      <c r="X1" s="218"/>
      <c r="Y1" s="218"/>
      <c r="Z1" s="218" t="s">
        <v>90</v>
      </c>
      <c r="AA1" s="218"/>
      <c r="AB1" s="218"/>
      <c r="AC1" s="218"/>
      <c r="AD1" s="218"/>
    </row>
    <row r="2" spans="1:32" ht="63.75">
      <c r="B2" s="145" t="s">
        <v>0</v>
      </c>
      <c r="C2" s="145" t="s">
        <v>180</v>
      </c>
      <c r="D2" s="145" t="s">
        <v>182</v>
      </c>
      <c r="E2" s="165" t="s">
        <v>88</v>
      </c>
      <c r="F2" s="166" t="s">
        <v>89</v>
      </c>
      <c r="G2" s="172" t="s">
        <v>60</v>
      </c>
      <c r="H2" s="145" t="s">
        <v>135</v>
      </c>
      <c r="I2" s="177" t="s">
        <v>56</v>
      </c>
      <c r="J2" s="167">
        <v>0.85</v>
      </c>
      <c r="K2" s="145" t="s">
        <v>41</v>
      </c>
      <c r="L2" s="177" t="s">
        <v>57</v>
      </c>
      <c r="M2" s="167">
        <v>0.15</v>
      </c>
      <c r="N2" s="172" t="s">
        <v>58</v>
      </c>
      <c r="O2" s="168" t="s">
        <v>171</v>
      </c>
      <c r="P2" s="168" t="s">
        <v>172</v>
      </c>
      <c r="Q2" s="168" t="s">
        <v>175</v>
      </c>
      <c r="R2" s="145" t="s">
        <v>174</v>
      </c>
      <c r="S2" s="178" t="s">
        <v>147</v>
      </c>
      <c r="T2" s="178" t="s">
        <v>148</v>
      </c>
      <c r="U2" s="145" t="s">
        <v>197</v>
      </c>
      <c r="V2" s="168" t="s">
        <v>149</v>
      </c>
      <c r="W2" s="170" t="s">
        <v>150</v>
      </c>
      <c r="X2" s="169" t="s">
        <v>198</v>
      </c>
      <c r="Y2" s="171" t="s">
        <v>59</v>
      </c>
      <c r="Z2" s="165" t="s">
        <v>72</v>
      </c>
      <c r="AA2" s="165" t="s">
        <v>70</v>
      </c>
      <c r="AB2" s="165" t="s">
        <v>71</v>
      </c>
      <c r="AC2" s="165" t="s">
        <v>206</v>
      </c>
      <c r="AD2" s="177" t="s">
        <v>61</v>
      </c>
    </row>
    <row r="3" spans="1:32" s="4" customFormat="1" ht="13.5" customHeight="1">
      <c r="B3" s="8"/>
      <c r="C3" s="224" t="s">
        <v>115</v>
      </c>
      <c r="D3" s="226" t="s">
        <v>116</v>
      </c>
      <c r="E3" s="226" t="s">
        <v>37</v>
      </c>
      <c r="F3" s="226" t="s">
        <v>38</v>
      </c>
      <c r="G3" s="228" t="s">
        <v>51</v>
      </c>
      <c r="H3" s="222" t="s">
        <v>40</v>
      </c>
      <c r="I3" s="230" t="s">
        <v>49</v>
      </c>
      <c r="J3" s="232" t="s">
        <v>52</v>
      </c>
      <c r="K3" s="234" t="s">
        <v>42</v>
      </c>
      <c r="L3" s="230" t="s">
        <v>53</v>
      </c>
      <c r="M3" s="232" t="s">
        <v>54</v>
      </c>
      <c r="N3" s="220" t="s">
        <v>44</v>
      </c>
      <c r="O3" s="234" t="s">
        <v>151</v>
      </c>
      <c r="P3" s="3" t="s">
        <v>152</v>
      </c>
      <c r="Q3" s="3" t="s">
        <v>153</v>
      </c>
      <c r="R3" s="3" t="s">
        <v>154</v>
      </c>
      <c r="S3" s="236" t="s">
        <v>155</v>
      </c>
      <c r="T3" s="236" t="s">
        <v>156</v>
      </c>
      <c r="U3" s="234" t="s">
        <v>157</v>
      </c>
      <c r="V3" s="234" t="s">
        <v>158</v>
      </c>
      <c r="W3" s="234" t="s">
        <v>159</v>
      </c>
      <c r="X3" s="222" t="s">
        <v>160</v>
      </c>
      <c r="Y3" s="238" t="s">
        <v>161</v>
      </c>
      <c r="Z3" s="3">
        <f>+AC3*0.5</f>
        <v>2131210974.1899993</v>
      </c>
      <c r="AA3" s="3">
        <f>+AC3*0.25</f>
        <v>1065605487.0949997</v>
      </c>
      <c r="AB3" s="3">
        <f>+AC3*0.25</f>
        <v>1065605487.0949997</v>
      </c>
      <c r="AC3" s="3">
        <f>+'PART 2025'!F10</f>
        <v>4262421948.3799987</v>
      </c>
      <c r="AD3" s="236" t="s">
        <v>46</v>
      </c>
      <c r="AE3" s="63"/>
    </row>
    <row r="4" spans="1:32" s="6" customFormat="1" ht="22.5" customHeight="1">
      <c r="B4" s="5"/>
      <c r="C4" s="225"/>
      <c r="D4" s="227"/>
      <c r="E4" s="227"/>
      <c r="F4" s="227"/>
      <c r="G4" s="229"/>
      <c r="H4" s="223"/>
      <c r="I4" s="231"/>
      <c r="J4" s="233"/>
      <c r="K4" s="235"/>
      <c r="L4" s="231"/>
      <c r="M4" s="233"/>
      <c r="N4" s="221"/>
      <c r="O4" s="235"/>
      <c r="P4" s="51"/>
      <c r="Q4" s="51"/>
      <c r="R4" s="51"/>
      <c r="S4" s="237"/>
      <c r="T4" s="237"/>
      <c r="U4" s="235"/>
      <c r="V4" s="235"/>
      <c r="W4" s="235"/>
      <c r="X4" s="223"/>
      <c r="Y4" s="239"/>
      <c r="Z4" s="3" t="s">
        <v>80</v>
      </c>
      <c r="AA4" s="3" t="s">
        <v>81</v>
      </c>
      <c r="AB4" s="3" t="s">
        <v>48</v>
      </c>
      <c r="AC4" s="8" t="s">
        <v>82</v>
      </c>
      <c r="AD4" s="237"/>
      <c r="AE4" s="64"/>
    </row>
    <row r="5" spans="1:32">
      <c r="A5" s="69">
        <v>15</v>
      </c>
      <c r="B5" s="77" t="s">
        <v>1</v>
      </c>
      <c r="C5" s="146">
        <v>748778</v>
      </c>
      <c r="D5" s="146">
        <v>256285.3</v>
      </c>
      <c r="E5" s="147">
        <f t="shared" ref="E5:E36" si="0">+D5/C5</f>
        <v>0.34227140754669605</v>
      </c>
      <c r="F5" s="146">
        <f>+E5*D5</f>
        <v>87719.130364527256</v>
      </c>
      <c r="G5" s="173">
        <f t="shared" ref="G5:G36" si="1">+F5/F$56</f>
        <v>3.8500060321389208E-5</v>
      </c>
      <c r="H5" s="92">
        <v>2974</v>
      </c>
      <c r="I5" s="173">
        <f t="shared" ref="I5:I36" si="2">+H5/$H$56</f>
        <v>5.141377508841821E-4</v>
      </c>
      <c r="J5" s="148">
        <f>+I5*J$2</f>
        <v>4.3701708825155477E-4</v>
      </c>
      <c r="K5" s="146">
        <v>46.9</v>
      </c>
      <c r="L5" s="173">
        <f t="shared" ref="L5:L36" si="3">+K5/$K$56</f>
        <v>7.3102605507790314E-4</v>
      </c>
      <c r="M5" s="148">
        <f>+L5*M$2</f>
        <v>1.0965390826168547E-4</v>
      </c>
      <c r="N5" s="173">
        <f>+M5+J5</f>
        <v>5.4667099651324028E-4</v>
      </c>
      <c r="O5" s="149">
        <v>296</v>
      </c>
      <c r="P5" s="149">
        <v>291</v>
      </c>
      <c r="Q5" s="150">
        <v>1.7570912812999999</v>
      </c>
      <c r="R5" s="151">
        <f>+P5/P$56</f>
        <v>2.7055597858981759E-4</v>
      </c>
      <c r="S5" s="179">
        <f t="shared" ref="S5:S55" si="4">+Q5*R5</f>
        <v>4.7539155108375792E-4</v>
      </c>
      <c r="T5" s="179">
        <f>+S5/S$56</f>
        <v>2.4656536212427173E-4</v>
      </c>
      <c r="U5" s="150">
        <f>0.85*T5</f>
        <v>2.0958055780563096E-4</v>
      </c>
      <c r="V5" s="151">
        <f t="shared" ref="V5:V55" si="5">+O5/P5</f>
        <v>1.0171821305841924</v>
      </c>
      <c r="W5" s="151">
        <f>+V5/V$56</f>
        <v>1.351657209931304E-2</v>
      </c>
      <c r="X5" s="150">
        <f>0.15*W5</f>
        <v>2.0274858148969558E-3</v>
      </c>
      <c r="Y5" s="148">
        <f>+X5+U5</f>
        <v>2.2370663727025869E-3</v>
      </c>
      <c r="Z5" s="93">
        <f t="shared" ref="Z5:Z36" si="6">+G5*Z$3</f>
        <v>82051.751063921634</v>
      </c>
      <c r="AA5" s="93">
        <f t="shared" ref="AA5:AA36" si="7">+N5*AA$3</f>
        <v>582535.61352020025</v>
      </c>
      <c r="AB5" s="93">
        <f t="shared" ref="AB5:AB36" si="8">+Y5*AB$3</f>
        <v>2383830.2017475842</v>
      </c>
      <c r="AC5" s="93">
        <f>SUM(Z5:AB5)</f>
        <v>3048417.566331706</v>
      </c>
      <c r="AD5" s="184">
        <f>+AC5/AC$56</f>
        <v>7.1518437246465135E-4</v>
      </c>
      <c r="AF5" s="61"/>
    </row>
    <row r="6" spans="1:32">
      <c r="A6" s="69">
        <v>11</v>
      </c>
      <c r="B6" s="78" t="s">
        <v>2</v>
      </c>
      <c r="C6" s="152">
        <v>2700030</v>
      </c>
      <c r="D6" s="152">
        <v>975274</v>
      </c>
      <c r="E6" s="153">
        <f t="shared" si="0"/>
        <v>0.36120857916393523</v>
      </c>
      <c r="F6" s="152">
        <f t="shared" ref="F6:F55" si="9">+E6*D6</f>
        <v>352277.33583552775</v>
      </c>
      <c r="G6" s="174">
        <f t="shared" si="1"/>
        <v>1.5461506085576429E-4</v>
      </c>
      <c r="H6" s="91">
        <v>3382</v>
      </c>
      <c r="I6" s="174">
        <f t="shared" si="2"/>
        <v>5.8467177992276519E-4</v>
      </c>
      <c r="J6" s="154">
        <f t="shared" ref="J6:J55" si="10">+I6*J$2</f>
        <v>4.9697101293435045E-4</v>
      </c>
      <c r="K6" s="152">
        <v>980.9</v>
      </c>
      <c r="L6" s="174">
        <f t="shared" si="3"/>
        <v>1.528919951867623E-2</v>
      </c>
      <c r="M6" s="154">
        <f t="shared" ref="M6:M55" si="11">+L6*M$2</f>
        <v>2.2933799278014345E-3</v>
      </c>
      <c r="N6" s="174">
        <f t="shared" ref="N6:N55" si="12">+M6+J6</f>
        <v>2.7903509407357849E-3</v>
      </c>
      <c r="O6" s="155">
        <v>250</v>
      </c>
      <c r="P6" s="155">
        <v>278</v>
      </c>
      <c r="Q6" s="156">
        <v>1.7189329948000001</v>
      </c>
      <c r="R6" s="157">
        <f t="shared" ref="R6:R55" si="13">+P6/P$56</f>
        <v>2.5846928538821062E-4</v>
      </c>
      <c r="S6" s="180">
        <f t="shared" si="4"/>
        <v>4.4429138279617278E-4</v>
      </c>
      <c r="T6" s="180">
        <f t="shared" ref="T6:T55" si="14">+S6/S$56</f>
        <v>2.3043502863712235E-4</v>
      </c>
      <c r="U6" s="156">
        <f t="shared" ref="U6:U55" si="15">0.85*T6</f>
        <v>1.95869774341554E-4</v>
      </c>
      <c r="V6" s="157">
        <f t="shared" si="5"/>
        <v>0.89928057553956831</v>
      </c>
      <c r="W6" s="157">
        <f t="shared" ref="W6:W55" si="16">+V6/V$56</f>
        <v>1.1949866568941082E-2</v>
      </c>
      <c r="X6" s="156">
        <f t="shared" ref="X6:X55" si="17">0.15*W6</f>
        <v>1.7924799853411622E-3</v>
      </c>
      <c r="Y6" s="154">
        <f t="shared" ref="Y6:Y55" si="18">+X6+U6</f>
        <v>1.9883497596827164E-3</v>
      </c>
      <c r="Z6" s="75">
        <f t="shared" si="6"/>
        <v>329517.31447085942</v>
      </c>
      <c r="AA6" s="75">
        <f t="shared" si="7"/>
        <v>2973413.2733687465</v>
      </c>
      <c r="AB6" s="75">
        <f t="shared" si="8"/>
        <v>2118796.4141819268</v>
      </c>
      <c r="AC6" s="75">
        <f t="shared" ref="AC6:AC55" si="19">SUM(Z6:AB6)</f>
        <v>5421727.0020215325</v>
      </c>
      <c r="AD6" s="185">
        <f t="shared" ref="AD6:AD55" si="20">+AC6/AC$56</f>
        <v>1.2719827055325075E-3</v>
      </c>
      <c r="AF6" s="61"/>
    </row>
    <row r="7" spans="1:32">
      <c r="A7" s="69">
        <v>12</v>
      </c>
      <c r="B7" s="78" t="s">
        <v>132</v>
      </c>
      <c r="C7" s="152">
        <v>1233500</v>
      </c>
      <c r="D7" s="152">
        <v>285165</v>
      </c>
      <c r="E7" s="153">
        <f t="shared" si="0"/>
        <v>0.23118362383461694</v>
      </c>
      <c r="F7" s="152">
        <f t="shared" si="9"/>
        <v>65925.478090798541</v>
      </c>
      <c r="G7" s="174">
        <f t="shared" si="1"/>
        <v>2.8934793045310019E-5</v>
      </c>
      <c r="H7" s="91">
        <v>1407</v>
      </c>
      <c r="I7" s="174">
        <f t="shared" si="2"/>
        <v>2.4323867366981983E-4</v>
      </c>
      <c r="J7" s="154">
        <f t="shared" si="10"/>
        <v>2.0675287261934686E-4</v>
      </c>
      <c r="K7" s="152">
        <v>694.5</v>
      </c>
      <c r="L7" s="174">
        <f t="shared" si="3"/>
        <v>1.0825108640759142E-2</v>
      </c>
      <c r="M7" s="154">
        <f t="shared" si="11"/>
        <v>1.6237662961138713E-3</v>
      </c>
      <c r="N7" s="174">
        <f t="shared" si="12"/>
        <v>1.8305191687332182E-3</v>
      </c>
      <c r="O7" s="155">
        <v>366</v>
      </c>
      <c r="P7" s="155">
        <v>167</v>
      </c>
      <c r="Q7" s="156">
        <v>1.7050555638</v>
      </c>
      <c r="R7" s="157">
        <f t="shared" si="13"/>
        <v>1.5526752035910496E-4</v>
      </c>
      <c r="S7" s="180">
        <f t="shared" si="4"/>
        <v>2.6473974946572169E-4</v>
      </c>
      <c r="T7" s="180">
        <f t="shared" si="14"/>
        <v>1.3730923918798022E-4</v>
      </c>
      <c r="U7" s="156">
        <f t="shared" si="15"/>
        <v>1.1671285330978319E-4</v>
      </c>
      <c r="V7" s="157">
        <f t="shared" si="5"/>
        <v>2.191616766467066</v>
      </c>
      <c r="W7" s="157">
        <f t="shared" si="16"/>
        <v>2.9122755057643529E-2</v>
      </c>
      <c r="X7" s="156">
        <f t="shared" si="17"/>
        <v>4.3684132586465294E-3</v>
      </c>
      <c r="Y7" s="154">
        <f t="shared" si="18"/>
        <v>4.4851261119563121E-3</v>
      </c>
      <c r="Z7" s="75">
        <f t="shared" si="6"/>
        <v>61666.148474081179</v>
      </c>
      <c r="AA7" s="75">
        <f t="shared" si="7"/>
        <v>1950611.2704346948</v>
      </c>
      <c r="AB7" s="75">
        <f t="shared" si="8"/>
        <v>4779374.9952137079</v>
      </c>
      <c r="AC7" s="75">
        <f t="shared" si="19"/>
        <v>6791652.4141224837</v>
      </c>
      <c r="AD7" s="185">
        <f t="shared" si="20"/>
        <v>1.5933787166950374E-3</v>
      </c>
      <c r="AF7" s="61"/>
    </row>
    <row r="8" spans="1:32" ht="13.5" customHeight="1">
      <c r="A8" s="69">
        <v>13</v>
      </c>
      <c r="B8" s="78" t="s">
        <v>3</v>
      </c>
      <c r="C8" s="152">
        <v>58299346</v>
      </c>
      <c r="D8" s="152">
        <v>27665867</v>
      </c>
      <c r="E8" s="153">
        <f t="shared" si="0"/>
        <v>0.47454849665037407</v>
      </c>
      <c r="F8" s="152">
        <f t="shared" si="9"/>
        <v>13128795.593379194</v>
      </c>
      <c r="G8" s="174">
        <f t="shared" si="1"/>
        <v>5.7622484421789308E-3</v>
      </c>
      <c r="H8" s="91">
        <v>35289</v>
      </c>
      <c r="I8" s="174">
        <f t="shared" si="2"/>
        <v>6.1006748792709828E-3</v>
      </c>
      <c r="J8" s="154">
        <f t="shared" si="10"/>
        <v>5.1855736473803348E-3</v>
      </c>
      <c r="K8" s="152">
        <v>190.5</v>
      </c>
      <c r="L8" s="174">
        <f t="shared" si="3"/>
        <v>2.9693062578324213E-3</v>
      </c>
      <c r="M8" s="154">
        <f t="shared" si="11"/>
        <v>4.4539593867486317E-4</v>
      </c>
      <c r="N8" s="174">
        <f t="shared" si="12"/>
        <v>5.6309695860551979E-3</v>
      </c>
      <c r="O8" s="155">
        <v>6372</v>
      </c>
      <c r="P8" s="155">
        <v>6876</v>
      </c>
      <c r="Q8" s="156">
        <v>1.5964581414000001</v>
      </c>
      <c r="R8" s="157">
        <f t="shared" si="13"/>
        <v>6.3929309580191959E-3</v>
      </c>
      <c r="S8" s="180">
        <f t="shared" si="4"/>
        <v>1.0206046675337848E-2</v>
      </c>
      <c r="T8" s="180">
        <f t="shared" si="14"/>
        <v>5.2934419819306551E-3</v>
      </c>
      <c r="U8" s="156">
        <f t="shared" si="15"/>
        <v>4.499425684641057E-3</v>
      </c>
      <c r="V8" s="157">
        <f t="shared" si="5"/>
        <v>0.92670157068062831</v>
      </c>
      <c r="W8" s="157">
        <f t="shared" si="16"/>
        <v>1.2314243652174133E-2</v>
      </c>
      <c r="X8" s="156">
        <f t="shared" si="17"/>
        <v>1.8471365478261198E-3</v>
      </c>
      <c r="Y8" s="154">
        <f t="shared" si="18"/>
        <v>6.3465622324671766E-3</v>
      </c>
      <c r="Z8" s="75">
        <f t="shared" si="6"/>
        <v>12280567.115980966</v>
      </c>
      <c r="AA8" s="75">
        <f t="shared" si="7"/>
        <v>6000392.0885654781</v>
      </c>
      <c r="AB8" s="75">
        <f t="shared" si="8"/>
        <v>6762931.5391069138</v>
      </c>
      <c r="AC8" s="75">
        <f t="shared" si="19"/>
        <v>25043890.743653357</v>
      </c>
      <c r="AD8" s="185">
        <f t="shared" si="20"/>
        <v>5.8755071757200586E-3</v>
      </c>
      <c r="AF8" s="61"/>
    </row>
    <row r="9" spans="1:32">
      <c r="A9" s="69">
        <v>14</v>
      </c>
      <c r="B9" s="78" t="s">
        <v>133</v>
      </c>
      <c r="C9" s="152">
        <v>11856377</v>
      </c>
      <c r="D9" s="152">
        <v>2390993</v>
      </c>
      <c r="E9" s="153">
        <f t="shared" si="0"/>
        <v>0.20166303753667753</v>
      </c>
      <c r="F9" s="152">
        <f t="shared" si="9"/>
        <v>482174.91110893321</v>
      </c>
      <c r="G9" s="174">
        <f t="shared" si="1"/>
        <v>2.1162730508169069E-4</v>
      </c>
      <c r="H9" s="91">
        <v>18030</v>
      </c>
      <c r="I9" s="174">
        <f t="shared" si="2"/>
        <v>3.1169817244256232E-3</v>
      </c>
      <c r="J9" s="154">
        <f t="shared" si="10"/>
        <v>2.6494344657617798E-3</v>
      </c>
      <c r="K9" s="152">
        <v>4539.2</v>
      </c>
      <c r="L9" s="174">
        <f t="shared" si="3"/>
        <v>7.0752099556708276E-2</v>
      </c>
      <c r="M9" s="154">
        <f t="shared" si="11"/>
        <v>1.0612814933506241E-2</v>
      </c>
      <c r="N9" s="174">
        <f t="shared" si="12"/>
        <v>1.3262249399268022E-2</v>
      </c>
      <c r="O9" s="155">
        <v>7349</v>
      </c>
      <c r="P9" s="155">
        <v>5491</v>
      </c>
      <c r="Q9" s="156">
        <v>1.7933312159000001</v>
      </c>
      <c r="R9" s="157">
        <f t="shared" si="13"/>
        <v>5.1052332592326066E-3</v>
      </c>
      <c r="S9" s="180">
        <f t="shared" si="4"/>
        <v>9.1553741682327307E-3</v>
      </c>
      <c r="T9" s="180">
        <f t="shared" si="14"/>
        <v>4.7485028752136602E-3</v>
      </c>
      <c r="U9" s="156">
        <f t="shared" si="15"/>
        <v>4.036227443931611E-3</v>
      </c>
      <c r="V9" s="157">
        <f t="shared" si="5"/>
        <v>1.3383718812602441</v>
      </c>
      <c r="W9" s="157">
        <f t="shared" si="16"/>
        <v>1.7784622325559021E-2</v>
      </c>
      <c r="X9" s="156">
        <f t="shared" si="17"/>
        <v>2.6676933488338529E-3</v>
      </c>
      <c r="Y9" s="154">
        <f t="shared" si="18"/>
        <v>6.7039207927654639E-3</v>
      </c>
      <c r="Z9" s="75">
        <f t="shared" si="6"/>
        <v>451022.43502835423</v>
      </c>
      <c r="AA9" s="75">
        <f t="shared" si="7"/>
        <v>14132325.731082367</v>
      </c>
      <c r="AB9" s="75">
        <f t="shared" si="8"/>
        <v>7143734.7818211382</v>
      </c>
      <c r="AC9" s="75">
        <f t="shared" si="19"/>
        <v>21727082.94793186</v>
      </c>
      <c r="AD9" s="185">
        <f t="shared" si="20"/>
        <v>5.0973562005492169E-3</v>
      </c>
      <c r="AF9" s="61"/>
    </row>
    <row r="10" spans="1:32">
      <c r="A10" s="69">
        <v>17</v>
      </c>
      <c r="B10" s="78" t="s">
        <v>4</v>
      </c>
      <c r="C10" s="152">
        <v>697064760</v>
      </c>
      <c r="D10" s="152">
        <v>367799477.69</v>
      </c>
      <c r="E10" s="153">
        <f t="shared" si="0"/>
        <v>0.52764032668930216</v>
      </c>
      <c r="F10" s="152">
        <f t="shared" si="9"/>
        <v>194065836.56450629</v>
      </c>
      <c r="G10" s="174">
        <f t="shared" si="1"/>
        <v>8.5175792133431474E-2</v>
      </c>
      <c r="H10" s="91">
        <v>656464</v>
      </c>
      <c r="I10" s="174">
        <f t="shared" si="2"/>
        <v>0.11348786970290306</v>
      </c>
      <c r="J10" s="154">
        <f t="shared" si="10"/>
        <v>9.6464689247467594E-2</v>
      </c>
      <c r="K10" s="152">
        <v>224</v>
      </c>
      <c r="L10" s="174">
        <f t="shared" si="3"/>
        <v>3.4914677257452094E-3</v>
      </c>
      <c r="M10" s="154">
        <f t="shared" si="11"/>
        <v>5.2372015886178135E-4</v>
      </c>
      <c r="N10" s="174">
        <f t="shared" si="12"/>
        <v>9.6988409406329371E-2</v>
      </c>
      <c r="O10" s="155">
        <v>77936</v>
      </c>
      <c r="P10" s="155">
        <v>87455</v>
      </c>
      <c r="Q10" s="156">
        <v>1.8323297204</v>
      </c>
      <c r="R10" s="157">
        <f t="shared" si="13"/>
        <v>8.1310904149733673E-2</v>
      </c>
      <c r="S10" s="180">
        <f t="shared" si="4"/>
        <v>0.14898838626615271</v>
      </c>
      <c r="T10" s="180">
        <f t="shared" si="14"/>
        <v>7.7273934146028844E-2</v>
      </c>
      <c r="U10" s="156">
        <f t="shared" si="15"/>
        <v>6.5682844024124512E-2</v>
      </c>
      <c r="V10" s="157">
        <f t="shared" si="5"/>
        <v>0.89115545137499286</v>
      </c>
      <c r="W10" s="157">
        <f t="shared" si="16"/>
        <v>1.1841897874560577E-2</v>
      </c>
      <c r="X10" s="156">
        <f t="shared" si="17"/>
        <v>1.7762846811840865E-3</v>
      </c>
      <c r="Y10" s="154">
        <f t="shared" si="18"/>
        <v>6.7459128705308596E-2</v>
      </c>
      <c r="Z10" s="75">
        <f t="shared" si="6"/>
        <v>181527582.93009537</v>
      </c>
      <c r="AA10" s="75">
        <f t="shared" si="7"/>
        <v>103351381.24800086</v>
      </c>
      <c r="AB10" s="75">
        <f t="shared" si="8"/>
        <v>71884817.703024641</v>
      </c>
      <c r="AC10" s="75">
        <f t="shared" si="19"/>
        <v>356763781.88112086</v>
      </c>
      <c r="AD10" s="185">
        <f t="shared" si="20"/>
        <v>8.3699780594625225E-2</v>
      </c>
      <c r="AF10" s="61"/>
    </row>
    <row r="11" spans="1:32">
      <c r="A11" s="69">
        <v>16</v>
      </c>
      <c r="B11" s="78" t="s">
        <v>5</v>
      </c>
      <c r="C11" s="152">
        <v>1901133</v>
      </c>
      <c r="D11" s="152">
        <v>889829</v>
      </c>
      <c r="E11" s="153">
        <f t="shared" si="0"/>
        <v>0.46805194586596521</v>
      </c>
      <c r="F11" s="152">
        <f t="shared" si="9"/>
        <v>416486.19493796595</v>
      </c>
      <c r="G11" s="174">
        <f t="shared" si="1"/>
        <v>1.8279642720468468E-4</v>
      </c>
      <c r="H11" s="91">
        <v>14992</v>
      </c>
      <c r="I11" s="174">
        <f t="shared" si="2"/>
        <v>2.5917798121236242E-3</v>
      </c>
      <c r="J11" s="154">
        <f t="shared" si="10"/>
        <v>2.2030128403050806E-3</v>
      </c>
      <c r="K11" s="152">
        <v>2688.6</v>
      </c>
      <c r="L11" s="174">
        <f t="shared" si="3"/>
        <v>4.1906964854636471E-2</v>
      </c>
      <c r="M11" s="154">
        <f t="shared" si="11"/>
        <v>6.2860447281954702E-3</v>
      </c>
      <c r="N11" s="174">
        <f t="shared" si="12"/>
        <v>8.48905756850055E-3</v>
      </c>
      <c r="O11" s="155">
        <v>10274</v>
      </c>
      <c r="P11" s="155">
        <v>7471</v>
      </c>
      <c r="Q11" s="156">
        <v>2.3084826450000002</v>
      </c>
      <c r="R11" s="157">
        <f t="shared" si="13"/>
        <v>6.9461296084004373E-3</v>
      </c>
      <c r="S11" s="180">
        <f t="shared" si="4"/>
        <v>1.6035019650913057E-2</v>
      </c>
      <c r="T11" s="180">
        <f t="shared" si="14"/>
        <v>8.3166821494490614E-3</v>
      </c>
      <c r="U11" s="156">
        <f t="shared" si="15"/>
        <v>7.0691798270317019E-3</v>
      </c>
      <c r="V11" s="157">
        <f t="shared" si="5"/>
        <v>1.375184044973899</v>
      </c>
      <c r="W11" s="157">
        <f t="shared" si="16"/>
        <v>1.8273791619834338E-2</v>
      </c>
      <c r="X11" s="156">
        <f t="shared" si="17"/>
        <v>2.7410687429751507E-3</v>
      </c>
      <c r="Y11" s="154">
        <f t="shared" si="18"/>
        <v>9.8102485700068531E-3</v>
      </c>
      <c r="Z11" s="75">
        <f t="shared" si="6"/>
        <v>389577.7517013473</v>
      </c>
      <c r="AA11" s="75">
        <f t="shared" si="7"/>
        <v>9045986.3252595216</v>
      </c>
      <c r="AB11" s="75">
        <f t="shared" si="8"/>
        <v>10453854.705965176</v>
      </c>
      <c r="AC11" s="75">
        <f t="shared" si="19"/>
        <v>19889418.782926045</v>
      </c>
      <c r="AD11" s="185">
        <f t="shared" si="20"/>
        <v>4.6662247482291931E-3</v>
      </c>
      <c r="AF11" s="61"/>
    </row>
    <row r="12" spans="1:32">
      <c r="A12" s="69">
        <v>18</v>
      </c>
      <c r="B12" s="78" t="s">
        <v>6</v>
      </c>
      <c r="C12" s="152">
        <v>2326723</v>
      </c>
      <c r="D12" s="152">
        <v>801056</v>
      </c>
      <c r="E12" s="153">
        <f t="shared" si="0"/>
        <v>0.34428507390007318</v>
      </c>
      <c r="F12" s="152">
        <f t="shared" si="9"/>
        <v>275791.62415809702</v>
      </c>
      <c r="G12" s="174">
        <f t="shared" si="1"/>
        <v>1.210453651569082E-4</v>
      </c>
      <c r="H12" s="91">
        <v>3661</v>
      </c>
      <c r="I12" s="174">
        <f t="shared" si="2"/>
        <v>6.329046086035611E-4</v>
      </c>
      <c r="J12" s="154">
        <f t="shared" si="10"/>
        <v>5.3796891731302697E-4</v>
      </c>
      <c r="K12" s="152">
        <v>466.7</v>
      </c>
      <c r="L12" s="174">
        <f t="shared" si="3"/>
        <v>7.2744106589521839E-3</v>
      </c>
      <c r="M12" s="154">
        <f t="shared" si="11"/>
        <v>1.0911615988428275E-3</v>
      </c>
      <c r="N12" s="174">
        <f t="shared" si="12"/>
        <v>1.6291305161558545E-3</v>
      </c>
      <c r="O12" s="155">
        <v>1472</v>
      </c>
      <c r="P12" s="155">
        <v>1100</v>
      </c>
      <c r="Q12" s="156">
        <v>1.4822637890000001</v>
      </c>
      <c r="R12" s="157">
        <f t="shared" si="13"/>
        <v>1.0227201939821285E-3</v>
      </c>
      <c r="S12" s="180">
        <f t="shared" si="4"/>
        <v>1.515941109818765E-3</v>
      </c>
      <c r="T12" s="180">
        <f t="shared" si="14"/>
        <v>7.8625412641311154E-4</v>
      </c>
      <c r="U12" s="156">
        <f t="shared" si="15"/>
        <v>6.6831600745114481E-4</v>
      </c>
      <c r="V12" s="157">
        <f t="shared" si="5"/>
        <v>1.3381818181818181</v>
      </c>
      <c r="W12" s="157">
        <f t="shared" si="16"/>
        <v>1.7782096719548338E-2</v>
      </c>
      <c r="X12" s="156">
        <f t="shared" si="17"/>
        <v>2.6673145079322506E-3</v>
      </c>
      <c r="Y12" s="154">
        <f t="shared" si="18"/>
        <v>3.3356305153833953E-3</v>
      </c>
      <c r="Z12" s="75">
        <f t="shared" si="6"/>
        <v>257973.21059723853</v>
      </c>
      <c r="AA12" s="75">
        <f t="shared" si="7"/>
        <v>1736010.4172095875</v>
      </c>
      <c r="AB12" s="75">
        <f t="shared" si="8"/>
        <v>3554466.1801140676</v>
      </c>
      <c r="AC12" s="75">
        <f t="shared" si="19"/>
        <v>5548449.8079208937</v>
      </c>
      <c r="AD12" s="185">
        <f t="shared" si="20"/>
        <v>1.3017129404632665E-3</v>
      </c>
      <c r="AF12" s="61"/>
    </row>
    <row r="13" spans="1:32">
      <c r="A13" s="69">
        <v>19</v>
      </c>
      <c r="B13" s="78" t="s">
        <v>117</v>
      </c>
      <c r="C13" s="152">
        <v>118292323</v>
      </c>
      <c r="D13" s="152">
        <v>34923971.5</v>
      </c>
      <c r="E13" s="153">
        <f t="shared" si="0"/>
        <v>0.29523447180929907</v>
      </c>
      <c r="F13" s="152">
        <f t="shared" si="9"/>
        <v>10310760.279285515</v>
      </c>
      <c r="G13" s="174">
        <f t="shared" si="1"/>
        <v>4.5254084378429354E-3</v>
      </c>
      <c r="H13" s="91">
        <v>122337</v>
      </c>
      <c r="I13" s="174">
        <f t="shared" si="2"/>
        <v>2.1149317427679282E-2</v>
      </c>
      <c r="J13" s="154">
        <f t="shared" si="10"/>
        <v>1.7976919813527389E-2</v>
      </c>
      <c r="K13" s="152">
        <v>1140.9000000000001</v>
      </c>
      <c r="L13" s="174">
        <f t="shared" si="3"/>
        <v>1.7783105037065667E-2</v>
      </c>
      <c r="M13" s="154">
        <f t="shared" si="11"/>
        <v>2.6674657555598499E-3</v>
      </c>
      <c r="N13" s="174">
        <f t="shared" si="12"/>
        <v>2.0644385569087237E-2</v>
      </c>
      <c r="O13" s="155">
        <v>26523</v>
      </c>
      <c r="P13" s="155">
        <v>24758</v>
      </c>
      <c r="Q13" s="156">
        <v>1.8739893594999999</v>
      </c>
      <c r="R13" s="157">
        <f t="shared" si="13"/>
        <v>2.3018642329645032E-2</v>
      </c>
      <c r="S13" s="180">
        <f t="shared" si="4"/>
        <v>4.3136690795891081E-2</v>
      </c>
      <c r="T13" s="180">
        <f t="shared" si="14"/>
        <v>2.2373165367967789E-2</v>
      </c>
      <c r="U13" s="156">
        <f t="shared" si="15"/>
        <v>1.901719056277262E-2</v>
      </c>
      <c r="V13" s="157">
        <f t="shared" si="5"/>
        <v>1.0712900880523468</v>
      </c>
      <c r="W13" s="157">
        <f t="shared" si="16"/>
        <v>1.4235572253046412E-2</v>
      </c>
      <c r="X13" s="156">
        <f t="shared" si="17"/>
        <v>2.1353358379569616E-3</v>
      </c>
      <c r="Y13" s="154">
        <f t="shared" si="18"/>
        <v>2.1152526400729583E-2</v>
      </c>
      <c r="Z13" s="75">
        <f t="shared" si="6"/>
        <v>9644600.1254228856</v>
      </c>
      <c r="AA13" s="75">
        <f t="shared" si="7"/>
        <v>21998770.540124185</v>
      </c>
      <c r="AB13" s="75">
        <f t="shared" si="8"/>
        <v>22540248.198539287</v>
      </c>
      <c r="AC13" s="75">
        <f t="shared" si="19"/>
        <v>54183618.86408636</v>
      </c>
      <c r="AD13" s="185">
        <f t="shared" si="20"/>
        <v>1.2711932211375673E-2</v>
      </c>
      <c r="AF13" s="61"/>
    </row>
    <row r="14" spans="1:32">
      <c r="A14" s="69">
        <v>20</v>
      </c>
      <c r="B14" s="78" t="s">
        <v>118</v>
      </c>
      <c r="C14" s="152">
        <v>45596306</v>
      </c>
      <c r="D14" s="152">
        <v>18680439</v>
      </c>
      <c r="E14" s="153">
        <f t="shared" si="0"/>
        <v>0.40969193864081882</v>
      </c>
      <c r="F14" s="152">
        <f t="shared" si="9"/>
        <v>7653225.2685715593</v>
      </c>
      <c r="G14" s="174">
        <f t="shared" si="1"/>
        <v>3.3590122618490812E-3</v>
      </c>
      <c r="H14" s="91">
        <v>104478</v>
      </c>
      <c r="I14" s="174">
        <f t="shared" si="2"/>
        <v>1.8061897759541888E-2</v>
      </c>
      <c r="J14" s="154">
        <f t="shared" si="10"/>
        <v>1.5352613095610604E-2</v>
      </c>
      <c r="K14" s="152">
        <v>104.3</v>
      </c>
      <c r="L14" s="174">
        <f t="shared" si="3"/>
        <v>1.6257146598001131E-3</v>
      </c>
      <c r="M14" s="154">
        <f t="shared" si="11"/>
        <v>2.4385719897001694E-4</v>
      </c>
      <c r="N14" s="174">
        <f t="shared" si="12"/>
        <v>1.5596470294580621E-2</v>
      </c>
      <c r="O14" s="155">
        <v>8234</v>
      </c>
      <c r="P14" s="155">
        <v>27842</v>
      </c>
      <c r="Q14" s="156">
        <v>1.8343045897000001</v>
      </c>
      <c r="R14" s="157">
        <f t="shared" si="13"/>
        <v>2.5885977855318563E-2</v>
      </c>
      <c r="S14" s="180">
        <f t="shared" si="4"/>
        <v>4.7482767988883408E-2</v>
      </c>
      <c r="T14" s="180">
        <f t="shared" si="14"/>
        <v>2.4627290613709465E-2</v>
      </c>
      <c r="U14" s="156">
        <f t="shared" si="15"/>
        <v>2.0933197021653045E-2</v>
      </c>
      <c r="V14" s="157">
        <f t="shared" si="5"/>
        <v>0.29574024854536313</v>
      </c>
      <c r="W14" s="157">
        <f t="shared" si="16"/>
        <v>3.9298708382110078E-3</v>
      </c>
      <c r="X14" s="156">
        <f t="shared" si="17"/>
        <v>5.8948062573165115E-4</v>
      </c>
      <c r="Y14" s="154">
        <f t="shared" si="18"/>
        <v>2.1522677647384695E-2</v>
      </c>
      <c r="Z14" s="75">
        <f t="shared" si="6"/>
        <v>7158763.7948915334</v>
      </c>
      <c r="AA14" s="75">
        <f t="shared" si="7"/>
        <v>16619684.325219275</v>
      </c>
      <c r="AB14" s="75">
        <f t="shared" si="8"/>
        <v>22934683.398030028</v>
      </c>
      <c r="AC14" s="75">
        <f t="shared" si="19"/>
        <v>46713131.518140838</v>
      </c>
      <c r="AD14" s="185">
        <f t="shared" si="20"/>
        <v>1.095929311641587E-2</v>
      </c>
      <c r="AF14" s="61"/>
    </row>
    <row r="15" spans="1:32">
      <c r="A15" s="69">
        <v>23</v>
      </c>
      <c r="B15" s="78" t="s">
        <v>119</v>
      </c>
      <c r="C15" s="152">
        <v>3975543</v>
      </c>
      <c r="D15" s="152">
        <v>1301173</v>
      </c>
      <c r="E15" s="153">
        <f t="shared" si="0"/>
        <v>0.32729440984539721</v>
      </c>
      <c r="F15" s="152">
        <f t="shared" si="9"/>
        <v>425866.64914176502</v>
      </c>
      <c r="G15" s="174">
        <f t="shared" si="1"/>
        <v>1.8691352288481171E-4</v>
      </c>
      <c r="H15" s="91">
        <v>7340</v>
      </c>
      <c r="I15" s="174">
        <f t="shared" si="2"/>
        <v>1.2689210126058832E-3</v>
      </c>
      <c r="J15" s="154">
        <f t="shared" si="10"/>
        <v>1.0785828607150008E-3</v>
      </c>
      <c r="K15" s="152">
        <v>1007.4</v>
      </c>
      <c r="L15" s="174">
        <f t="shared" si="3"/>
        <v>1.5702252620159483E-2</v>
      </c>
      <c r="M15" s="154">
        <f t="shared" si="11"/>
        <v>2.3553378930239225E-3</v>
      </c>
      <c r="N15" s="174">
        <f t="shared" si="12"/>
        <v>3.4339207537389233E-3</v>
      </c>
      <c r="O15" s="155">
        <v>3737</v>
      </c>
      <c r="P15" s="155">
        <v>763</v>
      </c>
      <c r="Q15" s="156">
        <v>1.7930753231000001</v>
      </c>
      <c r="R15" s="157">
        <f t="shared" si="13"/>
        <v>7.0939591637123999E-4</v>
      </c>
      <c r="S15" s="180">
        <f t="shared" si="4"/>
        <v>1.2720003119531817E-3</v>
      </c>
      <c r="T15" s="180">
        <f t="shared" si="14"/>
        <v>6.5973241809605702E-4</v>
      </c>
      <c r="U15" s="156">
        <f t="shared" si="15"/>
        <v>5.607725553816484E-4</v>
      </c>
      <c r="V15" s="157">
        <f t="shared" si="5"/>
        <v>4.8977719528178243</v>
      </c>
      <c r="W15" s="157">
        <f t="shared" si="16"/>
        <v>6.5082826109257794E-2</v>
      </c>
      <c r="X15" s="156">
        <f t="shared" si="17"/>
        <v>9.762423916388669E-3</v>
      </c>
      <c r="Y15" s="154">
        <f t="shared" si="18"/>
        <v>1.0323196471770317E-2</v>
      </c>
      <c r="Z15" s="75">
        <f t="shared" si="6"/>
        <v>398352.15119662427</v>
      </c>
      <c r="AA15" s="75">
        <f t="shared" si="7"/>
        <v>3659204.7974335938</v>
      </c>
      <c r="AB15" s="75">
        <f t="shared" si="8"/>
        <v>11000454.80467819</v>
      </c>
      <c r="AC15" s="75">
        <f t="shared" si="19"/>
        <v>15058011.753308408</v>
      </c>
      <c r="AD15" s="185">
        <f t="shared" si="20"/>
        <v>3.5327360678197159E-3</v>
      </c>
      <c r="AF15" s="61"/>
    </row>
    <row r="16" spans="1:32">
      <c r="A16" s="69">
        <v>21</v>
      </c>
      <c r="B16" s="78" t="s">
        <v>7</v>
      </c>
      <c r="C16" s="152">
        <v>5498532</v>
      </c>
      <c r="D16" s="152">
        <v>1894767.5</v>
      </c>
      <c r="E16" s="153">
        <f t="shared" si="0"/>
        <v>0.34459515739837471</v>
      </c>
      <c r="F16" s="152">
        <f t="shared" si="9"/>
        <v>652927.70489582489</v>
      </c>
      <c r="G16" s="174">
        <f t="shared" si="1"/>
        <v>2.8657096712578591E-4</v>
      </c>
      <c r="H16" s="91">
        <v>9930</v>
      </c>
      <c r="I16" s="174">
        <f t="shared" si="2"/>
        <v>1.7166737949831634E-3</v>
      </c>
      <c r="J16" s="154">
        <f t="shared" si="10"/>
        <v>1.4591727257356889E-3</v>
      </c>
      <c r="K16" s="152">
        <v>4265.7</v>
      </c>
      <c r="L16" s="174">
        <f t="shared" si="3"/>
        <v>6.6489079811211327E-2</v>
      </c>
      <c r="M16" s="154">
        <f t="shared" si="11"/>
        <v>9.9733619716816987E-3</v>
      </c>
      <c r="N16" s="174">
        <f t="shared" si="12"/>
        <v>1.1432534697417387E-2</v>
      </c>
      <c r="O16" s="155">
        <v>4127</v>
      </c>
      <c r="P16" s="155">
        <v>1614</v>
      </c>
      <c r="Q16" s="156">
        <v>1.7681716602999999</v>
      </c>
      <c r="R16" s="157">
        <f t="shared" si="13"/>
        <v>1.5006094482610502E-3</v>
      </c>
      <c r="S16" s="180">
        <f t="shared" si="4"/>
        <v>2.6533350995936078E-3</v>
      </c>
      <c r="T16" s="180">
        <f t="shared" si="14"/>
        <v>1.3761719748213892E-3</v>
      </c>
      <c r="U16" s="156">
        <f t="shared" si="15"/>
        <v>1.1697461785981809E-3</v>
      </c>
      <c r="V16" s="157">
        <f t="shared" si="5"/>
        <v>2.5570012391573731</v>
      </c>
      <c r="W16" s="157">
        <f t="shared" si="16"/>
        <v>3.3978075870496942E-2</v>
      </c>
      <c r="X16" s="156">
        <f t="shared" si="17"/>
        <v>5.0967113805745409E-3</v>
      </c>
      <c r="Y16" s="154">
        <f t="shared" si="18"/>
        <v>6.2664575591727216E-3</v>
      </c>
      <c r="Z16" s="75">
        <f t="shared" si="6"/>
        <v>610743.19002271642</v>
      </c>
      <c r="AA16" s="75">
        <f t="shared" si="7"/>
        <v>12182571.704971939</v>
      </c>
      <c r="AB16" s="75">
        <f t="shared" si="8"/>
        <v>6677571.5597023908</v>
      </c>
      <c r="AC16" s="75">
        <f t="shared" si="19"/>
        <v>19470886.454697046</v>
      </c>
      <c r="AD16" s="185">
        <f t="shared" si="20"/>
        <v>4.5680335477104204E-3</v>
      </c>
      <c r="AF16" s="61"/>
    </row>
    <row r="17" spans="1:32">
      <c r="A17" s="69">
        <v>22</v>
      </c>
      <c r="B17" s="78" t="s">
        <v>120</v>
      </c>
      <c r="C17" s="152">
        <v>57370151</v>
      </c>
      <c r="D17" s="152">
        <v>26652471.84</v>
      </c>
      <c r="E17" s="153">
        <f t="shared" si="0"/>
        <v>0.46457036238234756</v>
      </c>
      <c r="F17" s="152">
        <f t="shared" si="9"/>
        <v>12381948.501094114</v>
      </c>
      <c r="G17" s="174">
        <f t="shared" si="1"/>
        <v>5.4344561124517613E-3</v>
      </c>
      <c r="H17" s="91">
        <v>68747</v>
      </c>
      <c r="I17" s="174">
        <f t="shared" si="2"/>
        <v>1.1884811015479108E-2</v>
      </c>
      <c r="J17" s="154">
        <f t="shared" si="10"/>
        <v>1.0102089363157242E-2</v>
      </c>
      <c r="K17" s="152">
        <v>138.69999999999999</v>
      </c>
      <c r="L17" s="174">
        <f t="shared" si="3"/>
        <v>2.1619043462538417E-3</v>
      </c>
      <c r="M17" s="154">
        <f t="shared" si="11"/>
        <v>3.2428565193807623E-4</v>
      </c>
      <c r="N17" s="174">
        <f t="shared" si="12"/>
        <v>1.0426375015095319E-2</v>
      </c>
      <c r="O17" s="155">
        <v>10747</v>
      </c>
      <c r="P17" s="155">
        <v>15877</v>
      </c>
      <c r="Q17" s="156">
        <v>1.8900298334000001</v>
      </c>
      <c r="R17" s="157">
        <f t="shared" si="13"/>
        <v>1.4761571381685684E-2</v>
      </c>
      <c r="S17" s="180">
        <f t="shared" si="4"/>
        <v>2.7899810299249601E-2</v>
      </c>
      <c r="T17" s="180">
        <f t="shared" si="14"/>
        <v>1.4470444024405789E-2</v>
      </c>
      <c r="U17" s="156">
        <f t="shared" si="15"/>
        <v>1.2299877420744921E-2</v>
      </c>
      <c r="V17" s="157">
        <f t="shared" si="5"/>
        <v>0.67689110033381616</v>
      </c>
      <c r="W17" s="157">
        <f t="shared" si="16"/>
        <v>8.9946992637304091E-3</v>
      </c>
      <c r="X17" s="156">
        <f t="shared" si="17"/>
        <v>1.3492048895595613E-3</v>
      </c>
      <c r="Y17" s="154">
        <f t="shared" si="18"/>
        <v>1.3649082310304482E-2</v>
      </c>
      <c r="Z17" s="75">
        <f t="shared" si="6"/>
        <v>11581972.505611114</v>
      </c>
      <c r="AA17" s="75">
        <f t="shared" si="7"/>
        <v>11110402.426595781</v>
      </c>
      <c r="AB17" s="75">
        <f t="shared" si="8"/>
        <v>14544537.00367175</v>
      </c>
      <c r="AC17" s="75">
        <f t="shared" si="19"/>
        <v>37236911.935878649</v>
      </c>
      <c r="AD17" s="185">
        <f t="shared" si="20"/>
        <v>8.7360923875758317E-3</v>
      </c>
      <c r="AF17" s="61"/>
    </row>
    <row r="18" spans="1:32">
      <c r="A18" s="69">
        <v>25</v>
      </c>
      <c r="B18" s="78" t="s">
        <v>8</v>
      </c>
      <c r="C18" s="152">
        <v>7297681</v>
      </c>
      <c r="D18" s="152">
        <v>883533</v>
      </c>
      <c r="E18" s="153">
        <f t="shared" si="0"/>
        <v>0.12107037838458545</v>
      </c>
      <c r="F18" s="152">
        <f t="shared" si="9"/>
        <v>106969.67462526794</v>
      </c>
      <c r="G18" s="174">
        <f t="shared" si="1"/>
        <v>4.6949153605581197E-5</v>
      </c>
      <c r="H18" s="91">
        <v>36088</v>
      </c>
      <c r="I18" s="174">
        <f t="shared" si="2"/>
        <v>6.2388040194715413E-3</v>
      </c>
      <c r="J18" s="154">
        <f t="shared" si="10"/>
        <v>5.3029834165508102E-3</v>
      </c>
      <c r="K18" s="152">
        <v>5053.7</v>
      </c>
      <c r="L18" s="174">
        <f t="shared" si="3"/>
        <v>7.87715644892793E-2</v>
      </c>
      <c r="M18" s="154">
        <f t="shared" si="11"/>
        <v>1.1815734673391894E-2</v>
      </c>
      <c r="N18" s="174">
        <f t="shared" si="12"/>
        <v>1.7118718089942704E-2</v>
      </c>
      <c r="O18" s="155">
        <v>25568</v>
      </c>
      <c r="P18" s="155">
        <v>20948</v>
      </c>
      <c r="Q18" s="156">
        <v>2.5216163224999999</v>
      </c>
      <c r="R18" s="157">
        <f t="shared" si="13"/>
        <v>1.9476311475943298E-2</v>
      </c>
      <c r="S18" s="180">
        <f t="shared" si="4"/>
        <v>4.9111784919832688E-2</v>
      </c>
      <c r="T18" s="180">
        <f t="shared" si="14"/>
        <v>2.5472192355379904E-2</v>
      </c>
      <c r="U18" s="156">
        <f t="shared" si="15"/>
        <v>2.1651363502072918E-2</v>
      </c>
      <c r="V18" s="157">
        <f t="shared" si="5"/>
        <v>1.220546114187512</v>
      </c>
      <c r="W18" s="157">
        <f t="shared" si="16"/>
        <v>1.6218923884827686E-2</v>
      </c>
      <c r="X18" s="156">
        <f t="shared" si="17"/>
        <v>2.4328385827241529E-3</v>
      </c>
      <c r="Y18" s="154">
        <f t="shared" si="18"/>
        <v>2.4084202084797071E-2</v>
      </c>
      <c r="Z18" s="75">
        <f t="shared" si="6"/>
        <v>100058.55139314663</v>
      </c>
      <c r="AA18" s="75">
        <f t="shared" si="7"/>
        <v>18241799.928675376</v>
      </c>
      <c r="AB18" s="75">
        <f t="shared" si="8"/>
        <v>25664257.893864591</v>
      </c>
      <c r="AC18" s="75">
        <f t="shared" si="19"/>
        <v>44006116.373933114</v>
      </c>
      <c r="AD18" s="185">
        <f t="shared" si="20"/>
        <v>1.0324204620487734E-2</v>
      </c>
      <c r="AF18" s="61"/>
    </row>
    <row r="19" spans="1:32">
      <c r="A19" s="69">
        <v>27</v>
      </c>
      <c r="B19" s="78" t="s">
        <v>9</v>
      </c>
      <c r="C19" s="152">
        <v>1700096</v>
      </c>
      <c r="D19" s="152">
        <v>269839</v>
      </c>
      <c r="E19" s="153">
        <f t="shared" si="0"/>
        <v>0.15871986052552325</v>
      </c>
      <c r="F19" s="152">
        <f t="shared" si="9"/>
        <v>42828.808444346672</v>
      </c>
      <c r="G19" s="174">
        <f t="shared" si="1"/>
        <v>1.8797629453784163E-5</v>
      </c>
      <c r="H19" s="91">
        <v>1360</v>
      </c>
      <c r="I19" s="174">
        <f t="shared" si="2"/>
        <v>2.351134301286105E-4</v>
      </c>
      <c r="J19" s="154">
        <f t="shared" si="10"/>
        <v>1.9984641560931893E-4</v>
      </c>
      <c r="K19" s="152">
        <v>720.7</v>
      </c>
      <c r="L19" s="174">
        <f t="shared" si="3"/>
        <v>1.1233485669395412E-2</v>
      </c>
      <c r="M19" s="154">
        <f t="shared" si="11"/>
        <v>1.6850228504093118E-3</v>
      </c>
      <c r="N19" s="174">
        <f t="shared" si="12"/>
        <v>1.8848692660186307E-3</v>
      </c>
      <c r="O19" s="155">
        <v>347</v>
      </c>
      <c r="P19" s="155">
        <v>179</v>
      </c>
      <c r="Q19" s="156">
        <v>1.9685182910000001</v>
      </c>
      <c r="R19" s="157">
        <f t="shared" si="13"/>
        <v>1.6642446792981908E-4</v>
      </c>
      <c r="S19" s="180">
        <f t="shared" si="4"/>
        <v>3.2760960918979179E-4</v>
      </c>
      <c r="T19" s="180">
        <f t="shared" si="14"/>
        <v>1.699171593208232E-4</v>
      </c>
      <c r="U19" s="156">
        <f t="shared" si="15"/>
        <v>1.4442958542269972E-4</v>
      </c>
      <c r="V19" s="157">
        <f t="shared" si="5"/>
        <v>1.9385474860335195</v>
      </c>
      <c r="W19" s="157">
        <f t="shared" si="16"/>
        <v>2.5759906780770288E-2</v>
      </c>
      <c r="X19" s="156">
        <f t="shared" si="17"/>
        <v>3.8639860171155432E-3</v>
      </c>
      <c r="Y19" s="154">
        <f t="shared" si="18"/>
        <v>4.0084156025382428E-3</v>
      </c>
      <c r="Z19" s="75">
        <f t="shared" si="6"/>
        <v>40061.714180661969</v>
      </c>
      <c r="AA19" s="75">
        <f t="shared" si="7"/>
        <v>2008527.0323261775</v>
      </c>
      <c r="AB19" s="75">
        <f t="shared" si="8"/>
        <v>4271389.6606219606</v>
      </c>
      <c r="AC19" s="75">
        <f t="shared" si="19"/>
        <v>6319978.4071287997</v>
      </c>
      <c r="AD19" s="185">
        <f t="shared" si="20"/>
        <v>1.4827200318661103E-3</v>
      </c>
      <c r="AF19" s="61"/>
    </row>
    <row r="20" spans="1:32">
      <c r="A20" s="69">
        <v>26</v>
      </c>
      <c r="B20" s="78" t="s">
        <v>121</v>
      </c>
      <c r="C20" s="152">
        <v>2145081</v>
      </c>
      <c r="D20" s="152">
        <v>767171</v>
      </c>
      <c r="E20" s="153">
        <f t="shared" si="0"/>
        <v>0.35764197249427876</v>
      </c>
      <c r="F20" s="152">
        <f t="shared" si="9"/>
        <v>274372.54968040832</v>
      </c>
      <c r="G20" s="174">
        <f t="shared" si="1"/>
        <v>1.2042253120079716E-4</v>
      </c>
      <c r="H20" s="91">
        <v>3256</v>
      </c>
      <c r="I20" s="174">
        <f t="shared" si="2"/>
        <v>5.6288921213143808E-4</v>
      </c>
      <c r="J20" s="154">
        <f t="shared" si="10"/>
        <v>4.7845583031172234E-4</v>
      </c>
      <c r="K20" s="152">
        <v>614.70000000000005</v>
      </c>
      <c r="L20" s="174">
        <f t="shared" si="3"/>
        <v>9.5812732634624129E-3</v>
      </c>
      <c r="M20" s="154">
        <f t="shared" si="11"/>
        <v>1.4371909895193619E-3</v>
      </c>
      <c r="N20" s="174">
        <f t="shared" si="12"/>
        <v>1.9156468198310843E-3</v>
      </c>
      <c r="O20" s="155">
        <v>355</v>
      </c>
      <c r="P20" s="155">
        <v>468</v>
      </c>
      <c r="Q20" s="156">
        <v>1.9393994637</v>
      </c>
      <c r="R20" s="157">
        <f t="shared" si="13"/>
        <v>4.3512095525785101E-4</v>
      </c>
      <c r="S20" s="180">
        <f t="shared" si="4"/>
        <v>8.43873347271708E-4</v>
      </c>
      <c r="T20" s="180">
        <f t="shared" si="14"/>
        <v>4.3768118508360012E-4</v>
      </c>
      <c r="U20" s="156">
        <f t="shared" si="15"/>
        <v>3.7202900732106011E-4</v>
      </c>
      <c r="V20" s="157">
        <f t="shared" si="5"/>
        <v>0.75854700854700852</v>
      </c>
      <c r="W20" s="157">
        <f t="shared" si="16"/>
        <v>1.0079763518707652E-2</v>
      </c>
      <c r="X20" s="156">
        <f t="shared" si="17"/>
        <v>1.5119645278061477E-3</v>
      </c>
      <c r="Y20" s="154">
        <f t="shared" si="18"/>
        <v>1.8839935351272078E-3</v>
      </c>
      <c r="Z20" s="75">
        <f t="shared" si="6"/>
        <v>256645.82003487649</v>
      </c>
      <c r="AA20" s="75">
        <f t="shared" si="7"/>
        <v>2041323.7625480897</v>
      </c>
      <c r="AB20" s="75">
        <f t="shared" si="8"/>
        <v>2007593.8486830585</v>
      </c>
      <c r="AC20" s="75">
        <f t="shared" si="19"/>
        <v>4305563.4312660247</v>
      </c>
      <c r="AD20" s="185">
        <f t="shared" si="20"/>
        <v>1.0101213543399715E-3</v>
      </c>
      <c r="AF20" s="61"/>
    </row>
    <row r="21" spans="1:32">
      <c r="A21" s="69">
        <v>29</v>
      </c>
      <c r="B21" s="78" t="s">
        <v>10</v>
      </c>
      <c r="C21" s="152">
        <v>10799410</v>
      </c>
      <c r="D21" s="152">
        <v>1276918</v>
      </c>
      <c r="E21" s="153">
        <f t="shared" si="0"/>
        <v>0.11823960753411529</v>
      </c>
      <c r="F21" s="152">
        <f t="shared" si="9"/>
        <v>150982.28317324742</v>
      </c>
      <c r="G21" s="174">
        <f t="shared" si="1"/>
        <v>6.6266354733285652E-5</v>
      </c>
      <c r="H21" s="91">
        <v>40903</v>
      </c>
      <c r="I21" s="174">
        <f t="shared" si="2"/>
        <v>7.0712092886401146E-3</v>
      </c>
      <c r="J21" s="154">
        <f t="shared" si="10"/>
        <v>6.0105278953440974E-3</v>
      </c>
      <c r="K21" s="152">
        <v>7068.3</v>
      </c>
      <c r="L21" s="174">
        <f t="shared" si="3"/>
        <v>0.11017295234770028</v>
      </c>
      <c r="M21" s="154">
        <f t="shared" si="11"/>
        <v>1.6525942852155039E-2</v>
      </c>
      <c r="N21" s="174">
        <f t="shared" si="12"/>
        <v>2.2536470747499135E-2</v>
      </c>
      <c r="O21" s="155">
        <v>23646</v>
      </c>
      <c r="P21" s="155">
        <v>15246</v>
      </c>
      <c r="Q21" s="156">
        <v>2.0430424666000002</v>
      </c>
      <c r="R21" s="157">
        <f t="shared" si="13"/>
        <v>1.4174901888592301E-2</v>
      </c>
      <c r="S21" s="180">
        <f t="shared" si="4"/>
        <v>2.8959926518282615E-2</v>
      </c>
      <c r="T21" s="180">
        <f t="shared" si="14"/>
        <v>1.5020281182520606E-2</v>
      </c>
      <c r="U21" s="156">
        <f t="shared" si="15"/>
        <v>1.2767239005142515E-2</v>
      </c>
      <c r="V21" s="157">
        <f t="shared" si="5"/>
        <v>1.5509641873278237</v>
      </c>
      <c r="W21" s="157">
        <f t="shared" si="16"/>
        <v>2.060960238205228E-2</v>
      </c>
      <c r="X21" s="156">
        <f t="shared" si="17"/>
        <v>3.0914403573078417E-3</v>
      </c>
      <c r="Y21" s="154">
        <f t="shared" si="18"/>
        <v>1.5858679362450355E-2</v>
      </c>
      <c r="Z21" s="75">
        <f t="shared" si="6"/>
        <v>141227.5824271458</v>
      </c>
      <c r="AA21" s="75">
        <f t="shared" si="7"/>
        <v>24014986.888291027</v>
      </c>
      <c r="AB21" s="75">
        <f t="shared" si="8"/>
        <v>16899095.746707328</v>
      </c>
      <c r="AC21" s="75">
        <f t="shared" si="19"/>
        <v>41055310.217425495</v>
      </c>
      <c r="AD21" s="185">
        <f t="shared" si="20"/>
        <v>9.6319207048540141E-3</v>
      </c>
      <c r="AF21" s="61"/>
    </row>
    <row r="22" spans="1:32">
      <c r="A22" s="69">
        <v>30</v>
      </c>
      <c r="B22" s="78" t="s">
        <v>122</v>
      </c>
      <c r="C22" s="152">
        <v>440237925</v>
      </c>
      <c r="D22" s="152">
        <v>134564154.37</v>
      </c>
      <c r="E22" s="153">
        <f t="shared" si="0"/>
        <v>0.30566234013119159</v>
      </c>
      <c r="F22" s="152">
        <f t="shared" si="9"/>
        <v>41131194.32250911</v>
      </c>
      <c r="G22" s="174">
        <f t="shared" si="1"/>
        <v>1.8052544022344245E-2</v>
      </c>
      <c r="H22" s="91">
        <v>397205</v>
      </c>
      <c r="I22" s="174">
        <f t="shared" si="2"/>
        <v>6.8667816186937305E-2</v>
      </c>
      <c r="J22" s="154">
        <f t="shared" si="10"/>
        <v>5.8367643758896706E-2</v>
      </c>
      <c r="K22" s="152">
        <v>1032</v>
      </c>
      <c r="L22" s="174">
        <f t="shared" si="3"/>
        <v>1.6085690593611857E-2</v>
      </c>
      <c r="M22" s="154">
        <f t="shared" si="11"/>
        <v>2.4128535890417784E-3</v>
      </c>
      <c r="N22" s="174">
        <f t="shared" si="12"/>
        <v>6.0780497347938486E-2</v>
      </c>
      <c r="O22" s="155">
        <v>49018</v>
      </c>
      <c r="P22" s="155">
        <v>87249</v>
      </c>
      <c r="Q22" s="156">
        <v>1.8532766358999999</v>
      </c>
      <c r="R22" s="157">
        <f t="shared" si="13"/>
        <v>8.1119376549769751E-2</v>
      </c>
      <c r="S22" s="180">
        <f t="shared" si="4"/>
        <v>0.15033664527846263</v>
      </c>
      <c r="T22" s="180">
        <f t="shared" si="14"/>
        <v>7.7973218705987155E-2</v>
      </c>
      <c r="U22" s="156">
        <f t="shared" si="15"/>
        <v>6.6277235900089077E-2</v>
      </c>
      <c r="V22" s="157">
        <f t="shared" si="5"/>
        <v>0.56181732741922541</v>
      </c>
      <c r="W22" s="157">
        <f t="shared" si="16"/>
        <v>7.4655700138420563E-3</v>
      </c>
      <c r="X22" s="156">
        <f t="shared" si="17"/>
        <v>1.1198355020763085E-3</v>
      </c>
      <c r="Y22" s="154">
        <f t="shared" si="18"/>
        <v>6.7397071402165387E-2</v>
      </c>
      <c r="Z22" s="75">
        <f t="shared" si="6"/>
        <v>38473779.932468124</v>
      </c>
      <c r="AA22" s="75">
        <f t="shared" si="7"/>
        <v>64768031.482326329</v>
      </c>
      <c r="AB22" s="75">
        <f t="shared" si="8"/>
        <v>71818689.100280926</v>
      </c>
      <c r="AC22" s="75">
        <f t="shared" si="19"/>
        <v>175060500.51507539</v>
      </c>
      <c r="AD22" s="185">
        <f t="shared" si="20"/>
        <v>4.1070664198698092E-2</v>
      </c>
      <c r="AF22" s="61"/>
    </row>
    <row r="23" spans="1:32">
      <c r="A23" s="69">
        <v>32</v>
      </c>
      <c r="B23" s="78" t="s">
        <v>11</v>
      </c>
      <c r="C23" s="152">
        <v>4036392</v>
      </c>
      <c r="D23" s="152">
        <v>3345298</v>
      </c>
      <c r="E23" s="153">
        <f t="shared" si="0"/>
        <v>0.82878422115592343</v>
      </c>
      <c r="F23" s="152">
        <f t="shared" si="9"/>
        <v>2772530.1974644684</v>
      </c>
      <c r="G23" s="174">
        <f t="shared" si="1"/>
        <v>1.2168677391314038E-3</v>
      </c>
      <c r="H23" s="91">
        <v>5506</v>
      </c>
      <c r="I23" s="174">
        <f t="shared" si="2"/>
        <v>9.5186363697656574E-4</v>
      </c>
      <c r="J23" s="154">
        <f t="shared" si="10"/>
        <v>8.0908409143008091E-4</v>
      </c>
      <c r="K23" s="152">
        <v>1888.6</v>
      </c>
      <c r="L23" s="174">
        <f t="shared" si="3"/>
        <v>2.9437437262689294E-2</v>
      </c>
      <c r="M23" s="154">
        <f t="shared" si="11"/>
        <v>4.4156155894033936E-3</v>
      </c>
      <c r="N23" s="174">
        <f t="shared" si="12"/>
        <v>5.2246996808334749E-3</v>
      </c>
      <c r="O23" s="155">
        <v>2284</v>
      </c>
      <c r="P23" s="155">
        <v>950</v>
      </c>
      <c r="Q23" s="156">
        <v>2.0503201405999998</v>
      </c>
      <c r="R23" s="157">
        <f t="shared" si="13"/>
        <v>8.8325834934820178E-4</v>
      </c>
      <c r="S23" s="180">
        <f t="shared" si="4"/>
        <v>1.8109623830217289E-3</v>
      </c>
      <c r="T23" s="180">
        <f t="shared" si="14"/>
        <v>9.3926910300624043E-4</v>
      </c>
      <c r="U23" s="156">
        <f t="shared" si="15"/>
        <v>7.9837873755530435E-4</v>
      </c>
      <c r="V23" s="157">
        <f t="shared" si="5"/>
        <v>2.4042105263157896</v>
      </c>
      <c r="W23" s="157">
        <f t="shared" si="16"/>
        <v>3.1947754432346431E-2</v>
      </c>
      <c r="X23" s="156">
        <f t="shared" si="17"/>
        <v>4.7921631648519649E-3</v>
      </c>
      <c r="Y23" s="154">
        <f t="shared" si="18"/>
        <v>5.5905419024072697E-3</v>
      </c>
      <c r="Z23" s="75">
        <f t="shared" si="6"/>
        <v>2593401.8797746212</v>
      </c>
      <c r="AA23" s="75">
        <f t="shared" si="7"/>
        <v>5567468.6483196439</v>
      </c>
      <c r="AB23" s="75">
        <f t="shared" si="8"/>
        <v>5957312.1270397045</v>
      </c>
      <c r="AC23" s="75">
        <f t="shared" si="19"/>
        <v>14118182.65513397</v>
      </c>
      <c r="AD23" s="185">
        <f t="shared" si="20"/>
        <v>3.3122442653758881E-3</v>
      </c>
      <c r="AF23" s="61"/>
    </row>
    <row r="24" spans="1:32">
      <c r="A24" s="69">
        <v>33</v>
      </c>
      <c r="B24" s="78" t="s">
        <v>12</v>
      </c>
      <c r="C24" s="152">
        <v>478336774</v>
      </c>
      <c r="D24" s="152">
        <v>203360245.22999999</v>
      </c>
      <c r="E24" s="153">
        <f t="shared" si="0"/>
        <v>0.4251403117712208</v>
      </c>
      <c r="F24" s="152">
        <f t="shared" si="9"/>
        <v>86456638.05895412</v>
      </c>
      <c r="G24" s="174">
        <f t="shared" si="1"/>
        <v>3.794595051982292E-2</v>
      </c>
      <c r="H24" s="91">
        <v>481213</v>
      </c>
      <c r="I24" s="174">
        <f t="shared" si="2"/>
        <v>8.3190911067999293E-2</v>
      </c>
      <c r="J24" s="154">
        <f t="shared" si="10"/>
        <v>7.0712274407799397E-2</v>
      </c>
      <c r="K24" s="152">
        <v>149.4</v>
      </c>
      <c r="L24" s="174">
        <f t="shared" si="3"/>
        <v>2.3286842777961352E-3</v>
      </c>
      <c r="M24" s="154">
        <f t="shared" si="11"/>
        <v>3.4930264166942025E-4</v>
      </c>
      <c r="N24" s="174">
        <f t="shared" si="12"/>
        <v>7.1061577049468819E-2</v>
      </c>
      <c r="O24" s="155">
        <v>95635</v>
      </c>
      <c r="P24" s="155">
        <v>113990</v>
      </c>
      <c r="Q24" s="156">
        <v>1.9916235985999999</v>
      </c>
      <c r="R24" s="157">
        <f t="shared" si="13"/>
        <v>0.10598170446547529</v>
      </c>
      <c r="S24" s="180">
        <f t="shared" si="4"/>
        <v>0.21107566363329158</v>
      </c>
      <c r="T24" s="180">
        <f t="shared" si="14"/>
        <v>0.10947596212157762</v>
      </c>
      <c r="U24" s="156">
        <f t="shared" si="15"/>
        <v>9.3054567803340968E-2</v>
      </c>
      <c r="V24" s="157">
        <f t="shared" si="5"/>
        <v>0.83897710325467145</v>
      </c>
      <c r="W24" s="157">
        <f t="shared" si="16"/>
        <v>1.1148538855378512E-2</v>
      </c>
      <c r="X24" s="156">
        <f t="shared" si="17"/>
        <v>1.6722808283067768E-3</v>
      </c>
      <c r="Y24" s="154">
        <f t="shared" si="18"/>
        <v>9.472684863164775E-2</v>
      </c>
      <c r="Z24" s="75">
        <f t="shared" si="6"/>
        <v>80870826.173917323</v>
      </c>
      <c r="AA24" s="75">
        <f t="shared" si="7"/>
        <v>75723606.425538063</v>
      </c>
      <c r="AB24" s="75">
        <f t="shared" si="8"/>
        <v>100941449.6771013</v>
      </c>
      <c r="AC24" s="75">
        <f t="shared" si="19"/>
        <v>257535882.27655667</v>
      </c>
      <c r="AD24" s="185">
        <f t="shared" si="20"/>
        <v>6.0420081680190599E-2</v>
      </c>
      <c r="AF24" s="61"/>
    </row>
    <row r="25" spans="1:32">
      <c r="A25" s="69">
        <v>34</v>
      </c>
      <c r="B25" s="78" t="s">
        <v>123</v>
      </c>
      <c r="C25" s="152">
        <v>13247928</v>
      </c>
      <c r="D25" s="152">
        <v>4229569</v>
      </c>
      <c r="E25" s="153">
        <f t="shared" si="0"/>
        <v>0.319262680171571</v>
      </c>
      <c r="F25" s="152">
        <f t="shared" si="9"/>
        <v>1350343.5349105913</v>
      </c>
      <c r="G25" s="174">
        <f t="shared" si="1"/>
        <v>5.9266784032869591E-4</v>
      </c>
      <c r="H25" s="91">
        <v>14109</v>
      </c>
      <c r="I25" s="174">
        <f t="shared" si="2"/>
        <v>2.4391289600621804E-3</v>
      </c>
      <c r="J25" s="154">
        <f t="shared" si="10"/>
        <v>2.0732596160528533E-3</v>
      </c>
      <c r="K25" s="152">
        <v>2478.8000000000002</v>
      </c>
      <c r="L25" s="174">
        <f t="shared" si="3"/>
        <v>3.8636831243648327E-2</v>
      </c>
      <c r="M25" s="154">
        <f t="shared" si="11"/>
        <v>5.7955246865472486E-3</v>
      </c>
      <c r="N25" s="174">
        <f t="shared" si="12"/>
        <v>7.8687843026001014E-3</v>
      </c>
      <c r="O25" s="155">
        <v>5621</v>
      </c>
      <c r="P25" s="155">
        <v>1660</v>
      </c>
      <c r="Q25" s="156">
        <v>2.1173054283999999</v>
      </c>
      <c r="R25" s="157">
        <f t="shared" si="13"/>
        <v>1.543377747282121E-3</v>
      </c>
      <c r="S25" s="180">
        <f t="shared" si="4"/>
        <v>3.2678020823921979E-3</v>
      </c>
      <c r="T25" s="180">
        <f t="shared" si="14"/>
        <v>1.6948698435187855E-3</v>
      </c>
      <c r="U25" s="156">
        <f t="shared" si="15"/>
        <v>1.4406393669909676E-3</v>
      </c>
      <c r="V25" s="157">
        <f t="shared" si="5"/>
        <v>3.3861445783132531</v>
      </c>
      <c r="W25" s="157">
        <f t="shared" si="16"/>
        <v>4.499594119411314E-2</v>
      </c>
      <c r="X25" s="156">
        <f t="shared" si="17"/>
        <v>6.7493911791169708E-3</v>
      </c>
      <c r="Y25" s="154">
        <f t="shared" si="18"/>
        <v>8.1900305461079376E-3</v>
      </c>
      <c r="Z25" s="75">
        <f t="shared" si="6"/>
        <v>1263100.205358003</v>
      </c>
      <c r="AA25" s="75">
        <f t="shared" si="7"/>
        <v>8385019.7296176683</v>
      </c>
      <c r="AB25" s="75">
        <f t="shared" si="8"/>
        <v>8727341.4894082751</v>
      </c>
      <c r="AC25" s="75">
        <f t="shared" si="19"/>
        <v>18375461.424383946</v>
      </c>
      <c r="AD25" s="185">
        <f t="shared" si="20"/>
        <v>4.3110376323413574E-3</v>
      </c>
      <c r="AF25" s="61"/>
    </row>
    <row r="26" spans="1:32">
      <c r="A26" s="69">
        <v>35</v>
      </c>
      <c r="B26" s="78" t="s">
        <v>13</v>
      </c>
      <c r="C26" s="152">
        <v>882296</v>
      </c>
      <c r="D26" s="152">
        <v>325651</v>
      </c>
      <c r="E26" s="153">
        <f t="shared" si="0"/>
        <v>0.36909495226091926</v>
      </c>
      <c r="F26" s="152">
        <f t="shared" si="9"/>
        <v>120196.14029872062</v>
      </c>
      <c r="G26" s="174">
        <f t="shared" si="1"/>
        <v>5.2754269595110379E-5</v>
      </c>
      <c r="H26" s="91">
        <v>1808</v>
      </c>
      <c r="I26" s="174">
        <f t="shared" si="2"/>
        <v>3.1256256005332924E-4</v>
      </c>
      <c r="J26" s="154">
        <f t="shared" si="10"/>
        <v>2.6567817604532983E-4</v>
      </c>
      <c r="K26" s="152">
        <v>387.9</v>
      </c>
      <c r="L26" s="174">
        <f t="shared" si="3"/>
        <v>6.0461621911453867E-3</v>
      </c>
      <c r="M26" s="154">
        <f t="shared" si="11"/>
        <v>9.0692432867180801E-4</v>
      </c>
      <c r="N26" s="174">
        <f t="shared" si="12"/>
        <v>1.1726025047171379E-3</v>
      </c>
      <c r="O26" s="155">
        <v>196</v>
      </c>
      <c r="P26" s="155">
        <v>185</v>
      </c>
      <c r="Q26" s="156">
        <v>1.7757863003000001</v>
      </c>
      <c r="R26" s="157">
        <f t="shared" si="13"/>
        <v>1.7200294171517615E-4</v>
      </c>
      <c r="S26" s="180">
        <f t="shared" si="4"/>
        <v>3.054404675091092E-4</v>
      </c>
      <c r="T26" s="180">
        <f t="shared" si="14"/>
        <v>1.5841896917835949E-4</v>
      </c>
      <c r="U26" s="156">
        <f t="shared" si="15"/>
        <v>1.3465612380160556E-4</v>
      </c>
      <c r="V26" s="157">
        <f t="shared" si="5"/>
        <v>1.0594594594594595</v>
      </c>
      <c r="W26" s="157">
        <f t="shared" si="16"/>
        <v>1.4078363883426199E-2</v>
      </c>
      <c r="X26" s="156">
        <f t="shared" si="17"/>
        <v>2.1117545825139299E-3</v>
      </c>
      <c r="Y26" s="154">
        <f t="shared" si="18"/>
        <v>2.2464107063155355E-3</v>
      </c>
      <c r="Z26" s="75">
        <f t="shared" si="6"/>
        <v>112430.47829647706</v>
      </c>
      <c r="AA26" s="75">
        <f t="shared" si="7"/>
        <v>1249531.6632079224</v>
      </c>
      <c r="AB26" s="75">
        <f t="shared" si="8"/>
        <v>2393787.5749187884</v>
      </c>
      <c r="AC26" s="75">
        <f t="shared" si="19"/>
        <v>3755749.7164231879</v>
      </c>
      <c r="AD26" s="185">
        <f t="shared" si="20"/>
        <v>8.8113043755572358E-4</v>
      </c>
      <c r="AF26" s="61"/>
    </row>
    <row r="27" spans="1:32">
      <c r="A27" s="69">
        <v>61</v>
      </c>
      <c r="B27" s="78" t="s">
        <v>14</v>
      </c>
      <c r="C27" s="152">
        <v>1693362</v>
      </c>
      <c r="D27" s="152">
        <v>297973</v>
      </c>
      <c r="E27" s="153">
        <f t="shared" si="0"/>
        <v>0.17596532814601956</v>
      </c>
      <c r="F27" s="152">
        <f t="shared" si="9"/>
        <v>52432.916723653885</v>
      </c>
      <c r="G27" s="174">
        <f t="shared" si="1"/>
        <v>2.301288724931753E-5</v>
      </c>
      <c r="H27" s="91">
        <v>6282</v>
      </c>
      <c r="I27" s="174">
        <f t="shared" si="2"/>
        <v>1.0860165941675964E-3</v>
      </c>
      <c r="J27" s="154">
        <f t="shared" si="10"/>
        <v>9.2311410504245688E-4</v>
      </c>
      <c r="K27" s="152">
        <v>1306.7</v>
      </c>
      <c r="L27" s="174">
        <f t="shared" si="3"/>
        <v>2.0367414630496718E-2</v>
      </c>
      <c r="M27" s="154">
        <f t="shared" si="11"/>
        <v>3.0551121945745076E-3</v>
      </c>
      <c r="N27" s="174">
        <f t="shared" si="12"/>
        <v>3.9782262996169646E-3</v>
      </c>
      <c r="O27" s="155">
        <v>3611</v>
      </c>
      <c r="P27" s="155">
        <v>3897</v>
      </c>
      <c r="Q27" s="156">
        <v>2.6101222018999999</v>
      </c>
      <c r="R27" s="157">
        <f t="shared" si="13"/>
        <v>3.6232187235894133E-3</v>
      </c>
      <c r="S27" s="180">
        <f t="shared" si="4"/>
        <v>9.4570436327805069E-3</v>
      </c>
      <c r="T27" s="180">
        <f t="shared" si="14"/>
        <v>4.9049659856717437E-3</v>
      </c>
      <c r="U27" s="156">
        <f t="shared" si="15"/>
        <v>4.1692210878209821E-3</v>
      </c>
      <c r="V27" s="157">
        <f t="shared" si="5"/>
        <v>0.92661021298434698</v>
      </c>
      <c r="W27" s="157">
        <f t="shared" si="16"/>
        <v>1.2313029668118099E-2</v>
      </c>
      <c r="X27" s="156">
        <f t="shared" si="17"/>
        <v>1.8469544502177147E-3</v>
      </c>
      <c r="Y27" s="154">
        <f t="shared" si="18"/>
        <v>6.0161755380386973E-3</v>
      </c>
      <c r="Z27" s="75">
        <f t="shared" si="6"/>
        <v>49045.317853542627</v>
      </c>
      <c r="AA27" s="75">
        <f t="shared" si="7"/>
        <v>4239219.7737774737</v>
      </c>
      <c r="AB27" s="75">
        <f t="shared" si="8"/>
        <v>6410869.6646607481</v>
      </c>
      <c r="AC27" s="75">
        <f t="shared" si="19"/>
        <v>10699134.756291766</v>
      </c>
      <c r="AD27" s="185">
        <f t="shared" si="20"/>
        <v>2.5101069030385747E-3</v>
      </c>
      <c r="AF27" s="61"/>
    </row>
    <row r="28" spans="1:32">
      <c r="A28" s="69">
        <v>36</v>
      </c>
      <c r="B28" s="78" t="s">
        <v>15</v>
      </c>
      <c r="C28" s="152">
        <v>71592167</v>
      </c>
      <c r="D28" s="152">
        <v>15809295</v>
      </c>
      <c r="E28" s="153">
        <f t="shared" si="0"/>
        <v>0.22082436755965215</v>
      </c>
      <c r="F28" s="152">
        <f t="shared" si="9"/>
        <v>3491077.5699389707</v>
      </c>
      <c r="G28" s="174">
        <f t="shared" si="1"/>
        <v>1.5322392786015575E-3</v>
      </c>
      <c r="H28" s="91">
        <v>102149</v>
      </c>
      <c r="I28" s="174">
        <f t="shared" si="2"/>
        <v>1.7659266010446643E-2</v>
      </c>
      <c r="J28" s="154">
        <f t="shared" si="10"/>
        <v>1.5010376108879647E-2</v>
      </c>
      <c r="K28" s="152">
        <v>184.5</v>
      </c>
      <c r="L28" s="174">
        <f t="shared" si="3"/>
        <v>2.8757848008928175E-3</v>
      </c>
      <c r="M28" s="154">
        <f t="shared" si="11"/>
        <v>4.3136772013392259E-4</v>
      </c>
      <c r="N28" s="174">
        <f t="shared" si="12"/>
        <v>1.544174382901357E-2</v>
      </c>
      <c r="O28" s="155">
        <v>12989</v>
      </c>
      <c r="P28" s="155">
        <v>23008</v>
      </c>
      <c r="Q28" s="156">
        <v>1.8972127424</v>
      </c>
      <c r="R28" s="157">
        <f t="shared" si="13"/>
        <v>2.1391587475582556E-2</v>
      </c>
      <c r="S28" s="180">
        <f t="shared" si="4"/>
        <v>4.0584392338839474E-2</v>
      </c>
      <c r="T28" s="180">
        <f t="shared" si="14"/>
        <v>2.1049396798927165E-2</v>
      </c>
      <c r="U28" s="156">
        <f t="shared" si="15"/>
        <v>1.7891987279088091E-2</v>
      </c>
      <c r="V28" s="157">
        <f t="shared" si="5"/>
        <v>0.56454276773296241</v>
      </c>
      <c r="W28" s="157">
        <f t="shared" si="16"/>
        <v>7.5017863505189922E-3</v>
      </c>
      <c r="X28" s="156">
        <f t="shared" si="17"/>
        <v>1.1252679525778487E-3</v>
      </c>
      <c r="Y28" s="154">
        <f t="shared" si="18"/>
        <v>1.901725523166594E-2</v>
      </c>
      <c r="Z28" s="75">
        <f t="shared" si="6"/>
        <v>3265525.165640607</v>
      </c>
      <c r="AA28" s="75">
        <f t="shared" si="7"/>
        <v>16454806.954512211</v>
      </c>
      <c r="AB28" s="75">
        <f t="shared" si="8"/>
        <v>20264891.524349313</v>
      </c>
      <c r="AC28" s="75">
        <f t="shared" si="19"/>
        <v>39985223.644502133</v>
      </c>
      <c r="AD28" s="185">
        <f t="shared" si="20"/>
        <v>9.3808694044706566E-3</v>
      </c>
      <c r="AF28" s="61"/>
    </row>
    <row r="29" spans="1:32">
      <c r="A29" s="69">
        <v>28</v>
      </c>
      <c r="B29" s="78" t="s">
        <v>16</v>
      </c>
      <c r="C29" s="152">
        <v>935771643</v>
      </c>
      <c r="D29" s="152">
        <v>368526134.63999999</v>
      </c>
      <c r="E29" s="153">
        <f t="shared" si="0"/>
        <v>0.39382058368272227</v>
      </c>
      <c r="F29" s="152">
        <f t="shared" si="9"/>
        <v>145133177.4462623</v>
      </c>
      <c r="G29" s="174">
        <f t="shared" si="1"/>
        <v>6.3699173294307604E-2</v>
      </c>
      <c r="H29" s="91">
        <v>643143</v>
      </c>
      <c r="I29" s="174">
        <f t="shared" si="2"/>
        <v>0.11118496823029775</v>
      </c>
      <c r="J29" s="154">
        <f t="shared" si="10"/>
        <v>9.4507222995753079E-2</v>
      </c>
      <c r="K29" s="152">
        <v>118.4</v>
      </c>
      <c r="L29" s="174">
        <f t="shared" si="3"/>
        <v>1.8454900836081822E-3</v>
      </c>
      <c r="M29" s="154">
        <f t="shared" si="11"/>
        <v>2.7682351254122733E-4</v>
      </c>
      <c r="N29" s="174">
        <f t="shared" si="12"/>
        <v>9.4784046508294306E-2</v>
      </c>
      <c r="O29" s="155">
        <v>113831</v>
      </c>
      <c r="P29" s="155">
        <v>95688</v>
      </c>
      <c r="Q29" s="156">
        <v>1.8797706219999999</v>
      </c>
      <c r="R29" s="157">
        <f t="shared" si="13"/>
        <v>8.8965499928874453E-2</v>
      </c>
      <c r="S29" s="180">
        <f t="shared" si="4"/>
        <v>0.16723473313784129</v>
      </c>
      <c r="T29" s="180">
        <f t="shared" si="14"/>
        <v>8.6737537597976422E-2</v>
      </c>
      <c r="U29" s="156">
        <f t="shared" si="15"/>
        <v>7.372690695827995E-2</v>
      </c>
      <c r="V29" s="157">
        <f t="shared" si="5"/>
        <v>1.1896058021904523</v>
      </c>
      <c r="W29" s="157">
        <f t="shared" si="16"/>
        <v>1.5807781233665195E-2</v>
      </c>
      <c r="X29" s="156">
        <f t="shared" si="17"/>
        <v>2.3711671850497793E-3</v>
      </c>
      <c r="Y29" s="154">
        <f t="shared" si="18"/>
        <v>7.6098074143329725E-2</v>
      </c>
      <c r="Z29" s="75">
        <f t="shared" si="6"/>
        <v>135756377.1716589</v>
      </c>
      <c r="AA29" s="75">
        <f t="shared" si="7"/>
        <v>101002400.04830606</v>
      </c>
      <c r="AB29" s="75">
        <f t="shared" si="8"/>
        <v>81090525.364494264</v>
      </c>
      <c r="AC29" s="75">
        <f t="shared" si="19"/>
        <v>317849302.58445925</v>
      </c>
      <c r="AD29" s="185">
        <f t="shared" si="20"/>
        <v>7.4570116810059817E-2</v>
      </c>
      <c r="AF29" s="61"/>
    </row>
    <row r="30" spans="1:32">
      <c r="A30" s="69">
        <v>37</v>
      </c>
      <c r="B30" s="78" t="s">
        <v>124</v>
      </c>
      <c r="C30" s="152">
        <v>1080036</v>
      </c>
      <c r="D30" s="152">
        <v>282213.3</v>
      </c>
      <c r="E30" s="153">
        <f t="shared" si="0"/>
        <v>0.26129990111440726</v>
      </c>
      <c r="F30" s="152">
        <f t="shared" si="9"/>
        <v>73742.307383170555</v>
      </c>
      <c r="G30" s="174">
        <f t="shared" si="1"/>
        <v>3.2365611363135307E-5</v>
      </c>
      <c r="H30" s="91">
        <v>1959</v>
      </c>
      <c r="I30" s="174">
        <f t="shared" si="2"/>
        <v>3.3866706589849116E-4</v>
      </c>
      <c r="J30" s="154">
        <f t="shared" si="10"/>
        <v>2.8786700601371749E-4</v>
      </c>
      <c r="K30" s="152">
        <v>496.6</v>
      </c>
      <c r="L30" s="174">
        <f t="shared" si="3"/>
        <v>7.7404592527012097E-3</v>
      </c>
      <c r="M30" s="154">
        <f t="shared" si="11"/>
        <v>1.1610688879051814E-3</v>
      </c>
      <c r="N30" s="174">
        <f t="shared" si="12"/>
        <v>1.4489358939188989E-3</v>
      </c>
      <c r="O30" s="155">
        <v>188</v>
      </c>
      <c r="P30" s="155">
        <v>192</v>
      </c>
      <c r="Q30" s="156">
        <v>1.9505591721</v>
      </c>
      <c r="R30" s="157">
        <f t="shared" si="13"/>
        <v>1.7851116113142606E-4</v>
      </c>
      <c r="S30" s="180">
        <f t="shared" si="4"/>
        <v>3.4819658266712413E-4</v>
      </c>
      <c r="T30" s="180">
        <f t="shared" si="14"/>
        <v>1.8059474616246836E-4</v>
      </c>
      <c r="U30" s="156">
        <f t="shared" si="15"/>
        <v>1.5350553423809811E-4</v>
      </c>
      <c r="V30" s="157">
        <f t="shared" si="5"/>
        <v>0.97916666666666663</v>
      </c>
      <c r="W30" s="157">
        <f t="shared" si="16"/>
        <v>1.3011413049148681E-2</v>
      </c>
      <c r="X30" s="156">
        <f t="shared" si="17"/>
        <v>1.9517119573723022E-3</v>
      </c>
      <c r="Y30" s="154">
        <f t="shared" si="18"/>
        <v>2.1052174916104003E-3</v>
      </c>
      <c r="Z30" s="75">
        <f t="shared" si="6"/>
        <v>68977.946123482514</v>
      </c>
      <c r="AA30" s="75">
        <f t="shared" si="7"/>
        <v>1543994.039008877</v>
      </c>
      <c r="AB30" s="75">
        <f t="shared" si="8"/>
        <v>2243331.3105884138</v>
      </c>
      <c r="AC30" s="75">
        <f t="shared" si="19"/>
        <v>3856303.2957207733</v>
      </c>
      <c r="AD30" s="185">
        <f t="shared" si="20"/>
        <v>9.0472115206389244E-4</v>
      </c>
      <c r="AF30" s="61"/>
    </row>
    <row r="31" spans="1:32">
      <c r="A31" s="69">
        <v>39</v>
      </c>
      <c r="B31" s="78" t="s">
        <v>17</v>
      </c>
      <c r="C31" s="152">
        <v>2480480</v>
      </c>
      <c r="D31" s="152">
        <v>522470</v>
      </c>
      <c r="E31" s="153">
        <f t="shared" si="0"/>
        <v>0.21063261949300136</v>
      </c>
      <c r="F31" s="152">
        <f t="shared" si="9"/>
        <v>110049.22470650842</v>
      </c>
      <c r="G31" s="174">
        <f t="shared" si="1"/>
        <v>4.8300772840721759E-5</v>
      </c>
      <c r="H31" s="91">
        <v>16086</v>
      </c>
      <c r="I31" s="174">
        <f t="shared" si="2"/>
        <v>2.7809078213594327E-3</v>
      </c>
      <c r="J31" s="154">
        <f t="shared" si="10"/>
        <v>2.3637716481555177E-3</v>
      </c>
      <c r="K31" s="152">
        <v>170.6</v>
      </c>
      <c r="L31" s="174">
        <f t="shared" si="3"/>
        <v>2.6591267589827351E-3</v>
      </c>
      <c r="M31" s="154">
        <f t="shared" si="11"/>
        <v>3.9886901384741024E-4</v>
      </c>
      <c r="N31" s="174">
        <f t="shared" si="12"/>
        <v>2.762640662002928E-3</v>
      </c>
      <c r="O31" s="155">
        <v>3006</v>
      </c>
      <c r="P31" s="155">
        <v>3272</v>
      </c>
      <c r="Q31" s="156">
        <v>1.6415123341</v>
      </c>
      <c r="R31" s="157">
        <f t="shared" si="13"/>
        <v>3.0421277042813858E-3</v>
      </c>
      <c r="S31" s="180">
        <f t="shared" si="4"/>
        <v>4.9936901484852123E-3</v>
      </c>
      <c r="T31" s="180">
        <f t="shared" si="14"/>
        <v>2.5900145195906737E-3</v>
      </c>
      <c r="U31" s="156">
        <f t="shared" si="15"/>
        <v>2.2015123416520726E-3</v>
      </c>
      <c r="V31" s="157">
        <f t="shared" si="5"/>
        <v>0.91870415647921755</v>
      </c>
      <c r="W31" s="157">
        <f t="shared" si="16"/>
        <v>1.2207971999919139E-2</v>
      </c>
      <c r="X31" s="156">
        <f t="shared" si="17"/>
        <v>1.8311957999878707E-3</v>
      </c>
      <c r="Y31" s="154">
        <f t="shared" si="18"/>
        <v>4.0327081416399431E-3</v>
      </c>
      <c r="Z31" s="75">
        <f t="shared" si="6"/>
        <v>102939.13714000449</v>
      </c>
      <c r="AA31" s="75">
        <f t="shared" si="7"/>
        <v>2943885.0483020823</v>
      </c>
      <c r="AB31" s="75">
        <f t="shared" si="8"/>
        <v>4297275.9235842023</v>
      </c>
      <c r="AC31" s="75">
        <f t="shared" si="19"/>
        <v>7344100.1090262886</v>
      </c>
      <c r="AD31" s="185">
        <f t="shared" si="20"/>
        <v>1.7229875873310786E-3</v>
      </c>
      <c r="AF31" s="61"/>
    </row>
    <row r="32" spans="1:32">
      <c r="A32" s="69">
        <v>38</v>
      </c>
      <c r="B32" s="78" t="s">
        <v>18</v>
      </c>
      <c r="C32" s="152">
        <v>669013</v>
      </c>
      <c r="D32" s="152">
        <v>349348</v>
      </c>
      <c r="E32" s="153">
        <f t="shared" si="0"/>
        <v>0.52218417280381701</v>
      </c>
      <c r="F32" s="152">
        <f t="shared" si="9"/>
        <v>182423.99640066788</v>
      </c>
      <c r="G32" s="174">
        <f t="shared" si="1"/>
        <v>8.006617070083002E-5</v>
      </c>
      <c r="H32" s="91">
        <v>1386</v>
      </c>
      <c r="I32" s="174">
        <f t="shared" si="2"/>
        <v>2.3960824570459864E-4</v>
      </c>
      <c r="J32" s="154">
        <f t="shared" si="10"/>
        <v>2.0366700884890884E-4</v>
      </c>
      <c r="K32" s="152">
        <v>443.2</v>
      </c>
      <c r="L32" s="174">
        <f t="shared" si="3"/>
        <v>6.9081182859387349E-3</v>
      </c>
      <c r="M32" s="154">
        <f t="shared" si="11"/>
        <v>1.0362177428908102E-3</v>
      </c>
      <c r="N32" s="174">
        <f t="shared" si="12"/>
        <v>1.239884751739719E-3</v>
      </c>
      <c r="O32" s="155">
        <v>237</v>
      </c>
      <c r="P32" s="155">
        <v>131</v>
      </c>
      <c r="Q32" s="156">
        <v>2.2584083591000002</v>
      </c>
      <c r="R32" s="157">
        <f t="shared" si="13"/>
        <v>1.2179667764696256E-4</v>
      </c>
      <c r="S32" s="180">
        <f t="shared" si="4"/>
        <v>2.7506663490850839E-4</v>
      </c>
      <c r="T32" s="180">
        <f t="shared" si="14"/>
        <v>1.426653550949875E-4</v>
      </c>
      <c r="U32" s="156">
        <f t="shared" si="15"/>
        <v>1.2126555183073937E-4</v>
      </c>
      <c r="V32" s="157">
        <f t="shared" si="5"/>
        <v>1.8091603053435115</v>
      </c>
      <c r="W32" s="157">
        <f t="shared" si="16"/>
        <v>2.4040577366755789E-2</v>
      </c>
      <c r="X32" s="156">
        <f t="shared" si="17"/>
        <v>3.6060866050133681E-3</v>
      </c>
      <c r="Y32" s="154">
        <f t="shared" si="18"/>
        <v>3.7273521568441073E-3</v>
      </c>
      <c r="Z32" s="75">
        <f t="shared" si="6"/>
        <v>170637.90165897872</v>
      </c>
      <c r="AA32" s="75">
        <f t="shared" si="7"/>
        <v>1321227.994819266</v>
      </c>
      <c r="AB32" s="75">
        <f t="shared" si="8"/>
        <v>3971886.9106684625</v>
      </c>
      <c r="AC32" s="75">
        <f t="shared" si="19"/>
        <v>5463752.8071467075</v>
      </c>
      <c r="AD32" s="185">
        <f t="shared" si="20"/>
        <v>1.2818423124963717E-3</v>
      </c>
      <c r="AF32" s="61"/>
    </row>
    <row r="33" spans="1:32">
      <c r="A33" s="69">
        <v>40</v>
      </c>
      <c r="B33" s="78" t="s">
        <v>19</v>
      </c>
      <c r="C33" s="152">
        <v>2153132</v>
      </c>
      <c r="D33" s="152">
        <v>687297</v>
      </c>
      <c r="E33" s="153">
        <f t="shared" si="0"/>
        <v>0.31920801883024358</v>
      </c>
      <c r="F33" s="152">
        <f t="shared" si="9"/>
        <v>219390.71371796992</v>
      </c>
      <c r="G33" s="174">
        <f t="shared" si="1"/>
        <v>9.6290919403712818E-5</v>
      </c>
      <c r="H33" s="91">
        <v>7026</v>
      </c>
      <c r="I33" s="174">
        <f t="shared" si="2"/>
        <v>1.2146374706497186E-3</v>
      </c>
      <c r="J33" s="154">
        <f t="shared" si="10"/>
        <v>1.0324418500522608E-3</v>
      </c>
      <c r="K33" s="152">
        <v>127.8</v>
      </c>
      <c r="L33" s="174">
        <f t="shared" si="3"/>
        <v>1.9920070328135614E-3</v>
      </c>
      <c r="M33" s="154">
        <f t="shared" si="11"/>
        <v>2.9880105492203422E-4</v>
      </c>
      <c r="N33" s="174">
        <f t="shared" si="12"/>
        <v>1.331242904974295E-3</v>
      </c>
      <c r="O33" s="155">
        <v>2843</v>
      </c>
      <c r="P33" s="155">
        <v>1571</v>
      </c>
      <c r="Q33" s="156">
        <v>1.4705313694</v>
      </c>
      <c r="R33" s="157">
        <f t="shared" si="13"/>
        <v>1.4606303861326581E-3</v>
      </c>
      <c r="S33" s="180">
        <f t="shared" si="4"/>
        <v>2.1479028019069082E-3</v>
      </c>
      <c r="T33" s="180">
        <f t="shared" si="14"/>
        <v>1.1140257561426585E-3</v>
      </c>
      <c r="U33" s="156">
        <f t="shared" si="15"/>
        <v>9.4692189272125974E-4</v>
      </c>
      <c r="V33" s="157">
        <f t="shared" si="5"/>
        <v>1.8096753660089115</v>
      </c>
      <c r="W33" s="157">
        <f t="shared" si="16"/>
        <v>2.4047421622479592E-2</v>
      </c>
      <c r="X33" s="156">
        <f t="shared" si="17"/>
        <v>3.6071132433719384E-3</v>
      </c>
      <c r="Y33" s="154">
        <f t="shared" si="18"/>
        <v>4.554035136093198E-3</v>
      </c>
      <c r="Z33" s="75">
        <f t="shared" si="6"/>
        <v>205216.2641480375</v>
      </c>
      <c r="AA33" s="75">
        <f t="shared" si="7"/>
        <v>1418579.744196896</v>
      </c>
      <c r="AB33" s="75">
        <f t="shared" si="8"/>
        <v>4852804.8294443358</v>
      </c>
      <c r="AC33" s="75">
        <f t="shared" si="19"/>
        <v>6476600.8377892692</v>
      </c>
      <c r="AD33" s="185">
        <f t="shared" si="20"/>
        <v>1.5194649699687298E-3</v>
      </c>
      <c r="AF33" s="61"/>
    </row>
    <row r="34" spans="1:32">
      <c r="A34" s="69">
        <v>41</v>
      </c>
      <c r="B34" s="78" t="s">
        <v>20</v>
      </c>
      <c r="C34" s="152">
        <v>643163</v>
      </c>
      <c r="D34" s="152">
        <v>124942</v>
      </c>
      <c r="E34" s="153">
        <f t="shared" si="0"/>
        <v>0.19426179677624489</v>
      </c>
      <c r="F34" s="152">
        <f t="shared" si="9"/>
        <v>24271.457412817588</v>
      </c>
      <c r="G34" s="174">
        <f t="shared" si="1"/>
        <v>1.0652779736851901E-5</v>
      </c>
      <c r="H34" s="91">
        <v>3298</v>
      </c>
      <c r="I34" s="174">
        <f t="shared" si="2"/>
        <v>5.7015006806188052E-4</v>
      </c>
      <c r="J34" s="154">
        <f t="shared" si="10"/>
        <v>4.8462755785259843E-4</v>
      </c>
      <c r="K34" s="152">
        <v>560.5</v>
      </c>
      <c r="L34" s="174">
        <f t="shared" si="3"/>
        <v>8.7364627691079895E-3</v>
      </c>
      <c r="M34" s="154">
        <f t="shared" si="11"/>
        <v>1.3104694153661983E-3</v>
      </c>
      <c r="N34" s="174">
        <f t="shared" si="12"/>
        <v>1.7950969732187967E-3</v>
      </c>
      <c r="O34" s="155">
        <v>2022</v>
      </c>
      <c r="P34" s="155">
        <v>1144</v>
      </c>
      <c r="Q34" s="156">
        <v>2.2004042460000002</v>
      </c>
      <c r="R34" s="157">
        <f t="shared" si="13"/>
        <v>1.0636290017414136E-3</v>
      </c>
      <c r="S34" s="180">
        <f t="shared" si="4"/>
        <v>2.3404137716005482E-3</v>
      </c>
      <c r="T34" s="180">
        <f t="shared" si="14"/>
        <v>1.2138730017388346E-3</v>
      </c>
      <c r="U34" s="156">
        <f t="shared" si="15"/>
        <v>1.0317920514780095E-3</v>
      </c>
      <c r="V34" s="157">
        <f t="shared" si="5"/>
        <v>1.7674825174825175</v>
      </c>
      <c r="W34" s="157">
        <f t="shared" si="16"/>
        <v>2.3486752434499599E-2</v>
      </c>
      <c r="X34" s="156">
        <f t="shared" si="17"/>
        <v>3.5230128651749398E-3</v>
      </c>
      <c r="Y34" s="154">
        <f t="shared" si="18"/>
        <v>4.5548049166529488E-3</v>
      </c>
      <c r="Z34" s="75">
        <f t="shared" si="6"/>
        <v>22703.321080807626</v>
      </c>
      <c r="AA34" s="75">
        <f t="shared" si="7"/>
        <v>1912865.1845295755</v>
      </c>
      <c r="AB34" s="75">
        <f t="shared" si="8"/>
        <v>4853625.1118326653</v>
      </c>
      <c r="AC34" s="75">
        <f t="shared" si="19"/>
        <v>6789193.6174430484</v>
      </c>
      <c r="AD34" s="185">
        <f t="shared" si="20"/>
        <v>1.5928018623363625E-3</v>
      </c>
      <c r="AF34" s="61"/>
    </row>
    <row r="35" spans="1:32">
      <c r="A35" s="69">
        <v>42</v>
      </c>
      <c r="B35" s="78" t="s">
        <v>125</v>
      </c>
      <c r="C35" s="152">
        <v>658051524</v>
      </c>
      <c r="D35" s="152">
        <v>129597156.58</v>
      </c>
      <c r="E35" s="153">
        <f t="shared" si="0"/>
        <v>0.19694074377677454</v>
      </c>
      <c r="F35" s="152">
        <f t="shared" si="9"/>
        <v>25522960.40822031</v>
      </c>
      <c r="G35" s="174">
        <f t="shared" si="1"/>
        <v>1.120206631339654E-2</v>
      </c>
      <c r="H35" s="91">
        <v>471523</v>
      </c>
      <c r="I35" s="174">
        <f t="shared" si="2"/>
        <v>8.1515727878332944E-2</v>
      </c>
      <c r="J35" s="154">
        <f t="shared" si="10"/>
        <v>6.9288368696583003E-2</v>
      </c>
      <c r="K35" s="152">
        <v>247.3</v>
      </c>
      <c r="L35" s="174">
        <f t="shared" si="3"/>
        <v>3.8546427168606708E-3</v>
      </c>
      <c r="M35" s="154">
        <f t="shared" si="11"/>
        <v>5.7819640752910064E-4</v>
      </c>
      <c r="N35" s="174">
        <f t="shared" si="12"/>
        <v>6.9866565104112099E-2</v>
      </c>
      <c r="O35" s="155">
        <v>78885</v>
      </c>
      <c r="P35" s="155">
        <v>113737</v>
      </c>
      <c r="Q35" s="156">
        <v>1.9568038190999999</v>
      </c>
      <c r="R35" s="157">
        <f t="shared" si="13"/>
        <v>0.1057464788208594</v>
      </c>
      <c r="S35" s="180">
        <f t="shared" si="4"/>
        <v>0.20692511361303492</v>
      </c>
      <c r="T35" s="180">
        <f t="shared" si="14"/>
        <v>0.10732324849756292</v>
      </c>
      <c r="U35" s="156">
        <f t="shared" si="15"/>
        <v>9.1224761222928483E-2</v>
      </c>
      <c r="V35" s="157">
        <f t="shared" si="5"/>
        <v>0.69357377106834184</v>
      </c>
      <c r="W35" s="157">
        <f t="shared" si="16"/>
        <v>9.216382790222178E-3</v>
      </c>
      <c r="X35" s="156">
        <f t="shared" si="17"/>
        <v>1.3824574185333266E-3</v>
      </c>
      <c r="Y35" s="154">
        <f t="shared" si="18"/>
        <v>9.2607218641461805E-2</v>
      </c>
      <c r="Z35" s="75">
        <f t="shared" si="6"/>
        <v>23873966.660714813</v>
      </c>
      <c r="AA35" s="75">
        <f t="shared" si="7"/>
        <v>74450195.13942188</v>
      </c>
      <c r="AB35" s="75">
        <f t="shared" si="8"/>
        <v>98682760.328948036</v>
      </c>
      <c r="AC35" s="75">
        <f t="shared" si="19"/>
        <v>197006922.12908471</v>
      </c>
      <c r="AD35" s="185">
        <f t="shared" si="20"/>
        <v>4.6219479093091737E-2</v>
      </c>
      <c r="AF35" s="61"/>
    </row>
    <row r="36" spans="1:32">
      <c r="A36" s="69">
        <v>43</v>
      </c>
      <c r="B36" s="78" t="s">
        <v>21</v>
      </c>
      <c r="C36" s="152">
        <v>4730111</v>
      </c>
      <c r="D36" s="152">
        <v>4000421</v>
      </c>
      <c r="E36" s="153">
        <f t="shared" si="0"/>
        <v>0.84573512122654204</v>
      </c>
      <c r="F36" s="152">
        <f t="shared" si="9"/>
        <v>3383296.5393922045</v>
      </c>
      <c r="G36" s="174">
        <f t="shared" si="1"/>
        <v>1.4849340196425602E-3</v>
      </c>
      <c r="H36" s="91">
        <v>5351</v>
      </c>
      <c r="I36" s="174">
        <f t="shared" si="2"/>
        <v>9.2506762104279034E-4</v>
      </c>
      <c r="J36" s="154">
        <f t="shared" si="10"/>
        <v>7.8630747788637173E-4</v>
      </c>
      <c r="K36" s="152">
        <v>3428</v>
      </c>
      <c r="L36" s="174">
        <f t="shared" si="3"/>
        <v>5.3431925731493649E-2</v>
      </c>
      <c r="M36" s="154">
        <f t="shared" si="11"/>
        <v>8.0147888597240473E-3</v>
      </c>
      <c r="N36" s="174">
        <f t="shared" si="12"/>
        <v>8.8010963376104184E-3</v>
      </c>
      <c r="O36" s="155">
        <v>2081</v>
      </c>
      <c r="P36" s="155">
        <v>764</v>
      </c>
      <c r="Q36" s="156">
        <v>1.7755281664</v>
      </c>
      <c r="R36" s="157">
        <f t="shared" si="13"/>
        <v>7.1032566200213284E-4</v>
      </c>
      <c r="S36" s="180">
        <f t="shared" si="4"/>
        <v>1.2612032202015131E-3</v>
      </c>
      <c r="T36" s="180">
        <f t="shared" si="14"/>
        <v>6.5413242619134164E-4</v>
      </c>
      <c r="U36" s="156">
        <f t="shared" si="15"/>
        <v>5.5601256226264035E-4</v>
      </c>
      <c r="V36" s="157">
        <f t="shared" si="5"/>
        <v>2.7238219895287958</v>
      </c>
      <c r="W36" s="157">
        <f t="shared" si="16"/>
        <v>3.6194831977647418E-2</v>
      </c>
      <c r="X36" s="156">
        <f t="shared" si="17"/>
        <v>5.4292247966471127E-3</v>
      </c>
      <c r="Y36" s="154">
        <f t="shared" si="18"/>
        <v>5.9852373589097535E-3</v>
      </c>
      <c r="Z36" s="75">
        <f t="shared" si="6"/>
        <v>3164707.6786102923</v>
      </c>
      <c r="AA36" s="75">
        <f t="shared" si="7"/>
        <v>9378496.5498093683</v>
      </c>
      <c r="AB36" s="75">
        <f t="shared" si="8"/>
        <v>6377901.7712202175</v>
      </c>
      <c r="AC36" s="75">
        <f t="shared" si="19"/>
        <v>18921105.99963988</v>
      </c>
      <c r="AD36" s="185">
        <f t="shared" si="20"/>
        <v>4.4390504339513236E-3</v>
      </c>
      <c r="AF36" s="61"/>
    </row>
    <row r="37" spans="1:32">
      <c r="A37" s="69">
        <v>44</v>
      </c>
      <c r="B37" s="78" t="s">
        <v>22</v>
      </c>
      <c r="C37" s="152">
        <v>40442549</v>
      </c>
      <c r="D37" s="152">
        <v>11577447</v>
      </c>
      <c r="E37" s="153">
        <f t="shared" ref="E37:E56" si="21">+D37/C37</f>
        <v>0.2862689737978682</v>
      </c>
      <c r="F37" s="152">
        <f t="shared" si="9"/>
        <v>3314263.871889208</v>
      </c>
      <c r="G37" s="174">
        <f t="shared" ref="G37:G55" si="22">+F37/F$56</f>
        <v>1.4546354764175293E-3</v>
      </c>
      <c r="H37" s="91">
        <v>84666</v>
      </c>
      <c r="I37" s="174">
        <f t="shared" ref="I37:I55" si="23">+H37/$H$56</f>
        <v>1.4636848290638924E-2</v>
      </c>
      <c r="J37" s="154">
        <f t="shared" si="10"/>
        <v>1.2441321047043085E-2</v>
      </c>
      <c r="K37" s="152">
        <v>2509.1999999999998</v>
      </c>
      <c r="L37" s="174">
        <f t="shared" ref="L37:L56" si="24">+K37/$K$56</f>
        <v>3.9110673292142316E-2</v>
      </c>
      <c r="M37" s="154">
        <f t="shared" si="11"/>
        <v>5.8666009938213469E-3</v>
      </c>
      <c r="N37" s="174">
        <f t="shared" si="12"/>
        <v>1.8307922040864431E-2</v>
      </c>
      <c r="O37" s="155">
        <v>25760</v>
      </c>
      <c r="P37" s="155">
        <v>21267</v>
      </c>
      <c r="Q37" s="156">
        <v>2.0486592371999999</v>
      </c>
      <c r="R37" s="157">
        <f t="shared" si="13"/>
        <v>1.9772900332198112E-2</v>
      </c>
      <c r="S37" s="180">
        <f t="shared" si="4"/>
        <v>4.0507934911792609E-2</v>
      </c>
      <c r="T37" s="180">
        <f t="shared" si="14"/>
        <v>2.1009741585989696E-2</v>
      </c>
      <c r="U37" s="156">
        <f t="shared" si="15"/>
        <v>1.7858280348091241E-2</v>
      </c>
      <c r="V37" s="157">
        <f t="shared" si="5"/>
        <v>1.2112662810927728</v>
      </c>
      <c r="W37" s="157">
        <f t="shared" si="16"/>
        <v>1.6095611127629923E-2</v>
      </c>
      <c r="X37" s="156">
        <f t="shared" si="17"/>
        <v>2.4143416691444885E-3</v>
      </c>
      <c r="Y37" s="154">
        <f t="shared" si="18"/>
        <v>2.0272622017235731E-2</v>
      </c>
      <c r="Z37" s="75">
        <f t="shared" ref="Z37:Z55" si="25">+G37*Z$3</f>
        <v>3100135.0907871365</v>
      </c>
      <c r="AA37" s="75">
        <f t="shared" ref="AA37:AA55" si="26">+N37*AA$3</f>
        <v>19509022.184052624</v>
      </c>
      <c r="AB37" s="75">
        <f t="shared" ref="AB37:AB55" si="27">+Y37*AB$3</f>
        <v>21602617.259369295</v>
      </c>
      <c r="AC37" s="75">
        <f t="shared" si="19"/>
        <v>44211774.534209058</v>
      </c>
      <c r="AD37" s="185">
        <f t="shared" si="20"/>
        <v>1.0372453752733806E-2</v>
      </c>
      <c r="AF37" s="61"/>
    </row>
    <row r="38" spans="1:32">
      <c r="A38" s="69">
        <v>46</v>
      </c>
      <c r="B38" s="78" t="s">
        <v>126</v>
      </c>
      <c r="C38" s="152">
        <v>2483466</v>
      </c>
      <c r="D38" s="152">
        <v>1151227</v>
      </c>
      <c r="E38" s="153">
        <f t="shared" si="21"/>
        <v>0.4635565777828245</v>
      </c>
      <c r="F38" s="152">
        <f t="shared" si="9"/>
        <v>533658.84837118769</v>
      </c>
      <c r="G38" s="174">
        <f t="shared" si="22"/>
        <v>2.3422368379568865E-4</v>
      </c>
      <c r="H38" s="91">
        <v>5119</v>
      </c>
      <c r="I38" s="174">
        <f t="shared" si="23"/>
        <v>8.8496003590320376E-4</v>
      </c>
      <c r="J38" s="154">
        <f t="shared" si="10"/>
        <v>7.5221603051772322E-4</v>
      </c>
      <c r="K38" s="152">
        <v>264.89999999999998</v>
      </c>
      <c r="L38" s="174">
        <f t="shared" si="24"/>
        <v>4.1289723238835084E-3</v>
      </c>
      <c r="M38" s="154">
        <f t="shared" si="11"/>
        <v>6.1934584858252628E-4</v>
      </c>
      <c r="N38" s="174">
        <f t="shared" si="12"/>
        <v>1.3715618791002495E-3</v>
      </c>
      <c r="O38" s="155">
        <v>1318</v>
      </c>
      <c r="P38" s="155">
        <v>475</v>
      </c>
      <c r="Q38" s="156">
        <v>2.0058388967999998</v>
      </c>
      <c r="R38" s="157">
        <f t="shared" si="13"/>
        <v>4.4162917467410089E-4</v>
      </c>
      <c r="S38" s="180">
        <f t="shared" si="4"/>
        <v>8.8583697652299298E-4</v>
      </c>
      <c r="T38" s="180">
        <f t="shared" si="14"/>
        <v>4.5944593336068676E-4</v>
      </c>
      <c r="U38" s="156">
        <f t="shared" si="15"/>
        <v>3.9052904335658376E-4</v>
      </c>
      <c r="V38" s="157">
        <f t="shared" si="5"/>
        <v>2.7747368421052632</v>
      </c>
      <c r="W38" s="157">
        <f t="shared" si="16"/>
        <v>3.6871401350116108E-2</v>
      </c>
      <c r="X38" s="156">
        <f t="shared" si="17"/>
        <v>5.5307102025174163E-3</v>
      </c>
      <c r="Y38" s="154">
        <f t="shared" si="18"/>
        <v>5.921239245874E-3</v>
      </c>
      <c r="Z38" s="75">
        <f t="shared" si="25"/>
        <v>499180.08532057999</v>
      </c>
      <c r="AA38" s="75">
        <f t="shared" si="26"/>
        <v>1461543.8642595543</v>
      </c>
      <c r="AB38" s="75">
        <f t="shared" si="27"/>
        <v>6309705.0308055924</v>
      </c>
      <c r="AC38" s="75">
        <f t="shared" si="19"/>
        <v>8270428.9803857263</v>
      </c>
      <c r="AD38" s="185">
        <f t="shared" si="20"/>
        <v>1.9403121231414066E-3</v>
      </c>
      <c r="AF38" s="61"/>
    </row>
    <row r="39" spans="1:32">
      <c r="A39" s="69">
        <v>49</v>
      </c>
      <c r="B39" s="78" t="s">
        <v>23</v>
      </c>
      <c r="C39" s="152">
        <v>776280</v>
      </c>
      <c r="D39" s="152">
        <v>284653</v>
      </c>
      <c r="E39" s="153">
        <f t="shared" si="21"/>
        <v>0.36668856598134691</v>
      </c>
      <c r="F39" s="152">
        <f t="shared" si="9"/>
        <v>104379.00037228834</v>
      </c>
      <c r="G39" s="174">
        <f t="shared" si="22"/>
        <v>4.5812102718296991E-5</v>
      </c>
      <c r="H39" s="91">
        <v>1483</v>
      </c>
      <c r="I39" s="174">
        <f t="shared" si="23"/>
        <v>2.5637736535347747E-4</v>
      </c>
      <c r="J39" s="154">
        <f t="shared" si="10"/>
        <v>2.1792076055045584E-4</v>
      </c>
      <c r="K39" s="152">
        <v>207.9</v>
      </c>
      <c r="L39" s="174">
        <f t="shared" si="24"/>
        <v>3.2405184829572727E-3</v>
      </c>
      <c r="M39" s="154">
        <f t="shared" si="11"/>
        <v>4.8607777244359088E-4</v>
      </c>
      <c r="N39" s="174">
        <f t="shared" si="12"/>
        <v>7.0399853299404674E-4</v>
      </c>
      <c r="O39" s="155">
        <v>35</v>
      </c>
      <c r="P39" s="155">
        <v>141</v>
      </c>
      <c r="Q39" s="156">
        <v>1.5774653305999999</v>
      </c>
      <c r="R39" s="157">
        <f t="shared" si="13"/>
        <v>1.3109413395589101E-4</v>
      </c>
      <c r="S39" s="180">
        <f t="shared" si="4"/>
        <v>2.0679645136045029E-4</v>
      </c>
      <c r="T39" s="180">
        <f t="shared" si="14"/>
        <v>1.072565168637593E-4</v>
      </c>
      <c r="U39" s="156">
        <f t="shared" si="15"/>
        <v>9.1168039334195411E-5</v>
      </c>
      <c r="V39" s="157">
        <f t="shared" si="5"/>
        <v>0.24822695035460993</v>
      </c>
      <c r="W39" s="157">
        <f t="shared" si="16"/>
        <v>3.2985021763346587E-3</v>
      </c>
      <c r="X39" s="156">
        <f t="shared" si="17"/>
        <v>4.9477532645019883E-4</v>
      </c>
      <c r="Y39" s="154">
        <f t="shared" si="18"/>
        <v>5.8594336578439421E-4</v>
      </c>
      <c r="Z39" s="75">
        <f t="shared" si="25"/>
        <v>97635.256063954046</v>
      </c>
      <c r="AA39" s="75">
        <f t="shared" si="26"/>
        <v>750184.69966528635</v>
      </c>
      <c r="AB39" s="75">
        <f t="shared" si="27"/>
        <v>624384.46570676297</v>
      </c>
      <c r="AC39" s="75">
        <f t="shared" si="19"/>
        <v>1472204.4214360034</v>
      </c>
      <c r="AD39" s="185">
        <f t="shared" si="20"/>
        <v>3.4539152605375873E-4</v>
      </c>
      <c r="AF39" s="61"/>
    </row>
    <row r="40" spans="1:32">
      <c r="A40" s="69">
        <v>48</v>
      </c>
      <c r="B40" s="78" t="s">
        <v>24</v>
      </c>
      <c r="C40" s="152">
        <v>888800</v>
      </c>
      <c r="D40" s="152">
        <v>97877</v>
      </c>
      <c r="E40" s="153">
        <f t="shared" si="21"/>
        <v>0.11012263726372637</v>
      </c>
      <c r="F40" s="152">
        <f t="shared" si="9"/>
        <v>10778.473367461746</v>
      </c>
      <c r="G40" s="174">
        <f t="shared" si="22"/>
        <v>4.730688426746815E-6</v>
      </c>
      <c r="H40" s="91">
        <v>7652</v>
      </c>
      <c r="I40" s="174">
        <f t="shared" si="23"/>
        <v>1.322858799517741E-3</v>
      </c>
      <c r="J40" s="154">
        <f t="shared" si="10"/>
        <v>1.1244299795900798E-3</v>
      </c>
      <c r="K40" s="152">
        <v>997.9</v>
      </c>
      <c r="L40" s="174">
        <f t="shared" si="24"/>
        <v>1.5554176980005108E-2</v>
      </c>
      <c r="M40" s="154">
        <f t="shared" si="11"/>
        <v>2.3331265470007659E-3</v>
      </c>
      <c r="N40" s="174">
        <f t="shared" si="12"/>
        <v>3.4575565265908457E-3</v>
      </c>
      <c r="O40" s="155">
        <v>5295</v>
      </c>
      <c r="P40" s="155">
        <v>4705</v>
      </c>
      <c r="Q40" s="156">
        <v>2.7540316573000001</v>
      </c>
      <c r="R40" s="157">
        <f t="shared" si="13"/>
        <v>4.3744531933508314E-3</v>
      </c>
      <c r="S40" s="180">
        <f t="shared" si="4"/>
        <v>1.2047382577865268E-2</v>
      </c>
      <c r="T40" s="180">
        <f t="shared" si="14"/>
        <v>6.2484645366312659E-3</v>
      </c>
      <c r="U40" s="156">
        <f t="shared" si="15"/>
        <v>5.3111948561365757E-3</v>
      </c>
      <c r="V40" s="157">
        <f t="shared" si="5"/>
        <v>1.1253985122210415</v>
      </c>
      <c r="W40" s="157">
        <f t="shared" si="16"/>
        <v>1.4954578608413996E-2</v>
      </c>
      <c r="X40" s="156">
        <f t="shared" si="17"/>
        <v>2.2431867912620991E-3</v>
      </c>
      <c r="Y40" s="154">
        <f t="shared" si="18"/>
        <v>7.5543816473986752E-3</v>
      </c>
      <c r="Z40" s="75">
        <f t="shared" si="25"/>
        <v>10082.095090556435</v>
      </c>
      <c r="AA40" s="75">
        <f t="shared" si="26"/>
        <v>3684391.2066763332</v>
      </c>
      <c r="AB40" s="75">
        <f t="shared" si="27"/>
        <v>8049990.5350777917</v>
      </c>
      <c r="AC40" s="75">
        <f t="shared" si="19"/>
        <v>11744463.836844681</v>
      </c>
      <c r="AD40" s="185">
        <f t="shared" si="20"/>
        <v>2.7553498877107537E-3</v>
      </c>
      <c r="AF40" s="61"/>
    </row>
    <row r="41" spans="1:32">
      <c r="A41" s="69">
        <v>47</v>
      </c>
      <c r="B41" s="78" t="s">
        <v>25</v>
      </c>
      <c r="C41" s="152">
        <v>4862326</v>
      </c>
      <c r="D41" s="152">
        <v>865595</v>
      </c>
      <c r="E41" s="153">
        <f t="shared" si="21"/>
        <v>0.17802076619297019</v>
      </c>
      <c r="F41" s="152">
        <f t="shared" si="9"/>
        <v>154093.88511280404</v>
      </c>
      <c r="G41" s="174">
        <f t="shared" si="22"/>
        <v>6.7632041578005286E-5</v>
      </c>
      <c r="H41" s="91">
        <v>6048</v>
      </c>
      <c r="I41" s="174">
        <f t="shared" si="23"/>
        <v>1.0455632539837032E-3</v>
      </c>
      <c r="J41" s="154">
        <f t="shared" si="10"/>
        <v>8.8872876588614767E-4</v>
      </c>
      <c r="K41" s="152">
        <v>3860</v>
      </c>
      <c r="L41" s="174">
        <f t="shared" si="24"/>
        <v>6.0165470631145121E-2</v>
      </c>
      <c r="M41" s="154">
        <f t="shared" si="11"/>
        <v>9.0248205946717678E-3</v>
      </c>
      <c r="N41" s="174">
        <f t="shared" si="12"/>
        <v>9.9135493605579158E-3</v>
      </c>
      <c r="O41" s="155">
        <v>1618</v>
      </c>
      <c r="P41" s="155">
        <v>916</v>
      </c>
      <c r="Q41" s="156">
        <v>2.0422796606000002</v>
      </c>
      <c r="R41" s="157">
        <f t="shared" si="13"/>
        <v>8.5164699789784515E-4</v>
      </c>
      <c r="S41" s="180">
        <f t="shared" si="4"/>
        <v>1.7393013418178203E-3</v>
      </c>
      <c r="T41" s="180">
        <f t="shared" si="14"/>
        <v>9.0210157124349997E-4</v>
      </c>
      <c r="U41" s="156">
        <f t="shared" si="15"/>
        <v>7.6678633555697499E-4</v>
      </c>
      <c r="V41" s="157">
        <f t="shared" si="5"/>
        <v>1.7663755458515285</v>
      </c>
      <c r="W41" s="157">
        <f t="shared" si="16"/>
        <v>2.3472042716925653E-2</v>
      </c>
      <c r="X41" s="156">
        <f t="shared" si="17"/>
        <v>3.5208064075388477E-3</v>
      </c>
      <c r="Y41" s="154">
        <f t="shared" si="18"/>
        <v>4.2875927430958225E-3</v>
      </c>
      <c r="Z41" s="75">
        <f t="shared" si="25"/>
        <v>144138.14921791918</v>
      </c>
      <c r="AA41" s="75">
        <f t="shared" si="26"/>
        <v>10563932.59519764</v>
      </c>
      <c r="AB41" s="75">
        <f t="shared" si="27"/>
        <v>4568882.3534716098</v>
      </c>
      <c r="AC41" s="75">
        <f t="shared" si="19"/>
        <v>15276953.09788717</v>
      </c>
      <c r="AD41" s="185">
        <f t="shared" si="20"/>
        <v>3.5841015467024374E-3</v>
      </c>
      <c r="AF41" s="61"/>
    </row>
    <row r="42" spans="1:32">
      <c r="A42" s="69">
        <v>45</v>
      </c>
      <c r="B42" s="78" t="s">
        <v>26</v>
      </c>
      <c r="C42" s="152">
        <v>65670646</v>
      </c>
      <c r="D42" s="152">
        <v>24377478</v>
      </c>
      <c r="E42" s="153">
        <f t="shared" si="21"/>
        <v>0.37120813460552832</v>
      </c>
      <c r="F42" s="152">
        <f t="shared" si="9"/>
        <v>9049118.1347673051</v>
      </c>
      <c r="G42" s="174">
        <f t="shared" si="22"/>
        <v>3.9716717732624068E-3</v>
      </c>
      <c r="H42" s="91">
        <v>67428</v>
      </c>
      <c r="I42" s="174">
        <f t="shared" si="23"/>
        <v>1.1656785563758786E-2</v>
      </c>
      <c r="J42" s="154">
        <f t="shared" si="10"/>
        <v>9.9082677291949667E-3</v>
      </c>
      <c r="K42" s="152">
        <v>1869</v>
      </c>
      <c r="L42" s="174">
        <f t="shared" si="24"/>
        <v>2.913193383668659E-2</v>
      </c>
      <c r="M42" s="154">
        <f t="shared" si="11"/>
        <v>4.3697900755029885E-3</v>
      </c>
      <c r="N42" s="174">
        <f t="shared" si="12"/>
        <v>1.4278057804697954E-2</v>
      </c>
      <c r="O42" s="155">
        <v>15090</v>
      </c>
      <c r="P42" s="155">
        <v>11157</v>
      </c>
      <c r="Q42" s="156">
        <v>1.7986407321</v>
      </c>
      <c r="R42" s="157">
        <f t="shared" si="13"/>
        <v>1.037317200387146E-2</v>
      </c>
      <c r="S42" s="180">
        <f t="shared" si="4"/>
        <v>1.8657609687242588E-2</v>
      </c>
      <c r="T42" s="180">
        <f t="shared" si="14"/>
        <v>9.6769079686436638E-3</v>
      </c>
      <c r="U42" s="156">
        <f t="shared" si="15"/>
        <v>8.2253717733471142E-3</v>
      </c>
      <c r="V42" s="157">
        <f t="shared" si="5"/>
        <v>1.352514116698037</v>
      </c>
      <c r="W42" s="157">
        <f t="shared" si="16"/>
        <v>1.7972547908591634E-2</v>
      </c>
      <c r="X42" s="156">
        <f t="shared" si="17"/>
        <v>2.695882186288745E-3</v>
      </c>
      <c r="Y42" s="154">
        <f t="shared" si="18"/>
        <v>1.0921253959635859E-2</v>
      </c>
      <c r="Z42" s="75">
        <f t="shared" si="25"/>
        <v>8464470.4690574966</v>
      </c>
      <c r="AA42" s="75">
        <f t="shared" si="26"/>
        <v>15214776.741745725</v>
      </c>
      <c r="AB42" s="75">
        <f t="shared" si="27"/>
        <v>11637748.145345964</v>
      </c>
      <c r="AC42" s="75">
        <f t="shared" si="19"/>
        <v>35316995.356149182</v>
      </c>
      <c r="AD42" s="185">
        <f t="shared" si="20"/>
        <v>8.2856638277146559E-3</v>
      </c>
      <c r="AF42" s="61"/>
    </row>
    <row r="43" spans="1:32">
      <c r="A43" s="69">
        <v>70</v>
      </c>
      <c r="B43" s="78" t="s">
        <v>27</v>
      </c>
      <c r="C43" s="152">
        <v>3019280882</v>
      </c>
      <c r="D43" s="152">
        <v>1554017406.6700001</v>
      </c>
      <c r="E43" s="153">
        <f t="shared" si="21"/>
        <v>0.51469785932622614</v>
      </c>
      <c r="F43" s="152">
        <f t="shared" si="9"/>
        <v>799849432.56874251</v>
      </c>
      <c r="G43" s="174">
        <f t="shared" si="22"/>
        <v>0.35105513784685677</v>
      </c>
      <c r="H43" s="91">
        <v>1142994</v>
      </c>
      <c r="I43" s="174">
        <f t="shared" si="23"/>
        <v>0.19759797055619194</v>
      </c>
      <c r="J43" s="154">
        <f t="shared" si="10"/>
        <v>0.16795827497276314</v>
      </c>
      <c r="K43" s="152">
        <v>324.39999999999998</v>
      </c>
      <c r="L43" s="174">
        <f t="shared" si="24"/>
        <v>5.0563934385345795E-3</v>
      </c>
      <c r="M43" s="154">
        <f t="shared" si="11"/>
        <v>7.584590157801869E-4</v>
      </c>
      <c r="N43" s="174">
        <f t="shared" si="12"/>
        <v>0.16871673398854334</v>
      </c>
      <c r="O43" s="155">
        <v>182930</v>
      </c>
      <c r="P43" s="155">
        <v>207064</v>
      </c>
      <c r="Q43" s="156">
        <v>1.9809358914999999</v>
      </c>
      <c r="R43" s="157">
        <f t="shared" si="13"/>
        <v>0.19251684931519586</v>
      </c>
      <c r="S43" s="180">
        <f t="shared" si="4"/>
        <v>0.38136353652696864</v>
      </c>
      <c r="T43" s="180">
        <f t="shared" si="14"/>
        <v>0.19779703335156221</v>
      </c>
      <c r="U43" s="156">
        <f t="shared" si="15"/>
        <v>0.16812747834882788</v>
      </c>
      <c r="V43" s="157">
        <f t="shared" si="5"/>
        <v>0.8834466638334042</v>
      </c>
      <c r="W43" s="157">
        <f t="shared" si="16"/>
        <v>1.1739461565986884E-2</v>
      </c>
      <c r="X43" s="156">
        <f t="shared" si="17"/>
        <v>1.7609192348980326E-3</v>
      </c>
      <c r="Y43" s="154">
        <f t="shared" si="18"/>
        <v>0.16988839758372593</v>
      </c>
      <c r="Z43" s="75">
        <f t="shared" si="25"/>
        <v>748172562.3250041</v>
      </c>
      <c r="AA43" s="75">
        <f t="shared" si="26"/>
        <v>179785477.50293922</v>
      </c>
      <c r="AB43" s="75">
        <f t="shared" si="27"/>
        <v>181034008.65899524</v>
      </c>
      <c r="AC43" s="75">
        <f t="shared" si="19"/>
        <v>1108992048.4869385</v>
      </c>
      <c r="AD43" s="185">
        <f t="shared" si="20"/>
        <v>0.26017885181649569</v>
      </c>
      <c r="AF43" s="61"/>
    </row>
    <row r="44" spans="1:32">
      <c r="A44" s="69">
        <v>50</v>
      </c>
      <c r="B44" s="78" t="s">
        <v>127</v>
      </c>
      <c r="C44" s="152">
        <v>1446609</v>
      </c>
      <c r="D44" s="152">
        <v>392216</v>
      </c>
      <c r="E44" s="153">
        <f t="shared" si="21"/>
        <v>0.27112785832246311</v>
      </c>
      <c r="F44" s="152">
        <f t="shared" si="9"/>
        <v>106340.68407980319</v>
      </c>
      <c r="G44" s="174">
        <f t="shared" si="22"/>
        <v>4.6673088694297388E-5</v>
      </c>
      <c r="H44" s="91">
        <v>906</v>
      </c>
      <c r="I44" s="174">
        <f t="shared" si="23"/>
        <v>1.5662703507097141E-4</v>
      </c>
      <c r="J44" s="154">
        <f t="shared" si="10"/>
        <v>1.331329798103257E-4</v>
      </c>
      <c r="K44" s="152">
        <v>1171.2</v>
      </c>
      <c r="L44" s="174">
        <f t="shared" si="24"/>
        <v>1.8255388394610668E-2</v>
      </c>
      <c r="M44" s="154">
        <f t="shared" si="11"/>
        <v>2.7383082591916001E-3</v>
      </c>
      <c r="N44" s="174">
        <f t="shared" si="12"/>
        <v>2.8714412390019256E-3</v>
      </c>
      <c r="O44" s="155">
        <v>133</v>
      </c>
      <c r="P44" s="155">
        <v>63</v>
      </c>
      <c r="Q44" s="156">
        <v>1.7977681072</v>
      </c>
      <c r="R44" s="157">
        <f t="shared" si="13"/>
        <v>5.8573974746249173E-5</v>
      </c>
      <c r="S44" s="180">
        <f t="shared" si="4"/>
        <v>1.0530242371074497E-4</v>
      </c>
      <c r="T44" s="180">
        <f t="shared" si="14"/>
        <v>5.4615884896592997E-5</v>
      </c>
      <c r="U44" s="156">
        <f t="shared" si="15"/>
        <v>4.6423502162104046E-5</v>
      </c>
      <c r="V44" s="157">
        <f t="shared" si="5"/>
        <v>2.1111111111111112</v>
      </c>
      <c r="W44" s="157">
        <f t="shared" si="16"/>
        <v>2.8052975652065243E-2</v>
      </c>
      <c r="X44" s="156">
        <f t="shared" si="17"/>
        <v>4.2079463478097859E-3</v>
      </c>
      <c r="Y44" s="154">
        <f t="shared" si="18"/>
        <v>4.2543698499718898E-3</v>
      </c>
      <c r="Z44" s="75">
        <f t="shared" si="25"/>
        <v>99470.198824629784</v>
      </c>
      <c r="AA44" s="75">
        <f t="shared" si="26"/>
        <v>3059823.5401513162</v>
      </c>
      <c r="AB44" s="75">
        <f t="shared" si="27"/>
        <v>4533479.8562615765</v>
      </c>
      <c r="AC44" s="75">
        <f t="shared" si="19"/>
        <v>7692773.5952375224</v>
      </c>
      <c r="AD44" s="185">
        <f t="shared" si="20"/>
        <v>1.8047893165906025E-3</v>
      </c>
      <c r="AF44" s="61"/>
    </row>
    <row r="45" spans="1:32">
      <c r="A45" s="69">
        <v>51</v>
      </c>
      <c r="B45" s="78" t="s">
        <v>128</v>
      </c>
      <c r="C45" s="152">
        <v>118655999</v>
      </c>
      <c r="D45" s="152">
        <v>36526514</v>
      </c>
      <c r="E45" s="153">
        <f t="shared" si="21"/>
        <v>0.30783537543685424</v>
      </c>
      <c r="F45" s="152">
        <f t="shared" si="9"/>
        <v>11244153.150589513</v>
      </c>
      <c r="G45" s="174">
        <f t="shared" si="22"/>
        <v>4.9350759949587392E-3</v>
      </c>
      <c r="H45" s="91">
        <v>147624</v>
      </c>
      <c r="I45" s="174">
        <f t="shared" si="23"/>
        <v>2.5520871330372057E-2</v>
      </c>
      <c r="J45" s="154">
        <f t="shared" si="10"/>
        <v>2.1692740630816248E-2</v>
      </c>
      <c r="K45" s="152">
        <v>322.8</v>
      </c>
      <c r="L45" s="174">
        <f t="shared" si="24"/>
        <v>5.0314543833506857E-3</v>
      </c>
      <c r="M45" s="154">
        <f t="shared" si="11"/>
        <v>7.5471815750260279E-4</v>
      </c>
      <c r="N45" s="174">
        <f t="shared" si="12"/>
        <v>2.2447458788318851E-2</v>
      </c>
      <c r="O45" s="155">
        <v>19678</v>
      </c>
      <c r="P45" s="155">
        <v>32877</v>
      </c>
      <c r="Q45" s="156">
        <v>1.8363293522999999</v>
      </c>
      <c r="R45" s="157">
        <f t="shared" si="13"/>
        <v>3.0567247106864034E-2</v>
      </c>
      <c r="S45" s="180">
        <f t="shared" si="4"/>
        <v>5.6131533081341681E-2</v>
      </c>
      <c r="T45" s="180">
        <f t="shared" si="14"/>
        <v>2.9113036925540778E-2</v>
      </c>
      <c r="U45" s="156">
        <f t="shared" si="15"/>
        <v>2.474608138670966E-2</v>
      </c>
      <c r="V45" s="157">
        <f t="shared" si="5"/>
        <v>0.59853392949478357</v>
      </c>
      <c r="W45" s="157">
        <f t="shared" si="16"/>
        <v>7.953469461024678E-3</v>
      </c>
      <c r="X45" s="156">
        <f t="shared" si="17"/>
        <v>1.1930204191537017E-3</v>
      </c>
      <c r="Y45" s="154">
        <f t="shared" si="18"/>
        <v>2.5939101805863361E-2</v>
      </c>
      <c r="Z45" s="75">
        <f t="shared" si="25"/>
        <v>10517688.118917694</v>
      </c>
      <c r="AA45" s="75">
        <f t="shared" si="26"/>
        <v>23920135.256171439</v>
      </c>
      <c r="AB45" s="75">
        <f t="shared" si="27"/>
        <v>27640849.214643814</v>
      </c>
      <c r="AC45" s="75">
        <f t="shared" si="19"/>
        <v>62078672.589732945</v>
      </c>
      <c r="AD45" s="185">
        <f t="shared" si="20"/>
        <v>1.4564178146024922E-2</v>
      </c>
      <c r="AF45" s="61"/>
    </row>
    <row r="46" spans="1:32">
      <c r="A46" s="69">
        <v>52</v>
      </c>
      <c r="B46" s="78" t="s">
        <v>129</v>
      </c>
      <c r="C46" s="152">
        <v>8461471</v>
      </c>
      <c r="D46" s="152">
        <v>1864672</v>
      </c>
      <c r="E46" s="153">
        <f t="shared" si="21"/>
        <v>0.22037208423925345</v>
      </c>
      <c r="F46" s="152">
        <f t="shared" si="9"/>
        <v>410921.65506257722</v>
      </c>
      <c r="G46" s="174">
        <f t="shared" si="22"/>
        <v>1.8035414215269017E-4</v>
      </c>
      <c r="H46" s="91">
        <v>5389</v>
      </c>
      <c r="I46" s="174">
        <f t="shared" si="23"/>
        <v>9.3163696688461914E-4</v>
      </c>
      <c r="J46" s="154">
        <f t="shared" si="10"/>
        <v>7.918914218519263E-4</v>
      </c>
      <c r="K46" s="152">
        <v>1341</v>
      </c>
      <c r="L46" s="174">
        <f t="shared" si="24"/>
        <v>2.0902045626001453E-2</v>
      </c>
      <c r="M46" s="154">
        <f t="shared" si="11"/>
        <v>3.135306843900218E-3</v>
      </c>
      <c r="N46" s="174">
        <f t="shared" si="12"/>
        <v>3.927198265752144E-3</v>
      </c>
      <c r="O46" s="155">
        <v>1611</v>
      </c>
      <c r="P46" s="155">
        <v>1054</v>
      </c>
      <c r="Q46" s="156">
        <v>2.1403267704000002</v>
      </c>
      <c r="R46" s="157">
        <f t="shared" si="13"/>
        <v>9.7995189496105769E-4</v>
      </c>
      <c r="S46" s="180">
        <f t="shared" si="4"/>
        <v>2.0974172744893608E-3</v>
      </c>
      <c r="T46" s="180">
        <f t="shared" si="14"/>
        <v>1.0878410620281658E-3</v>
      </c>
      <c r="U46" s="156">
        <f t="shared" si="15"/>
        <v>9.2466490272394091E-4</v>
      </c>
      <c r="V46" s="157">
        <f t="shared" si="5"/>
        <v>1.5284629981024669</v>
      </c>
      <c r="W46" s="157">
        <f t="shared" si="16"/>
        <v>2.0310600917771596E-2</v>
      </c>
      <c r="X46" s="156">
        <f t="shared" si="17"/>
        <v>3.0465901376657395E-3</v>
      </c>
      <c r="Y46" s="154">
        <f t="shared" si="18"/>
        <v>3.9712550403896802E-3</v>
      </c>
      <c r="Z46" s="75">
        <f t="shared" si="25"/>
        <v>384372.72699643642</v>
      </c>
      <c r="AA46" s="75">
        <f t="shared" si="26"/>
        <v>4184844.0208954513</v>
      </c>
      <c r="AB46" s="75">
        <f t="shared" si="27"/>
        <v>4231791.1616929173</v>
      </c>
      <c r="AC46" s="75">
        <f t="shared" si="19"/>
        <v>8801007.9095848054</v>
      </c>
      <c r="AD46" s="185">
        <f t="shared" si="20"/>
        <v>2.0647903976118011E-3</v>
      </c>
      <c r="AF46" s="61"/>
    </row>
    <row r="47" spans="1:32">
      <c r="A47" s="69">
        <v>53</v>
      </c>
      <c r="B47" s="78" t="s">
        <v>28</v>
      </c>
      <c r="C47" s="152">
        <v>1204547</v>
      </c>
      <c r="D47" s="152">
        <v>280110</v>
      </c>
      <c r="E47" s="153">
        <f t="shared" si="21"/>
        <v>0.23254385258524574</v>
      </c>
      <c r="F47" s="152">
        <f t="shared" si="9"/>
        <v>65137.858547653181</v>
      </c>
      <c r="G47" s="174">
        <f t="shared" si="22"/>
        <v>2.8589105624614114E-5</v>
      </c>
      <c r="H47" s="91">
        <v>2377</v>
      </c>
      <c r="I47" s="174">
        <f t="shared" si="23"/>
        <v>4.1092987015860824E-4</v>
      </c>
      <c r="J47" s="154">
        <f t="shared" si="10"/>
        <v>3.4929038963481702E-4</v>
      </c>
      <c r="K47" s="152">
        <v>683.1</v>
      </c>
      <c r="L47" s="174">
        <f t="shared" si="24"/>
        <v>1.0647417872573894E-2</v>
      </c>
      <c r="M47" s="154">
        <f t="shared" si="11"/>
        <v>1.5971126808860842E-3</v>
      </c>
      <c r="N47" s="174">
        <f t="shared" si="12"/>
        <v>1.9464030705209012E-3</v>
      </c>
      <c r="O47" s="155">
        <v>1875</v>
      </c>
      <c r="P47" s="155">
        <v>790</v>
      </c>
      <c r="Q47" s="156">
        <v>2.1956719391999999</v>
      </c>
      <c r="R47" s="157">
        <f t="shared" si="13"/>
        <v>7.3449904840534679E-4</v>
      </c>
      <c r="S47" s="180">
        <f t="shared" si="4"/>
        <v>1.6127189499527224E-3</v>
      </c>
      <c r="T47" s="180">
        <f t="shared" si="14"/>
        <v>8.3644867266416574E-4</v>
      </c>
      <c r="U47" s="156">
        <f t="shared" si="15"/>
        <v>7.1098137176454088E-4</v>
      </c>
      <c r="V47" s="157">
        <f t="shared" si="5"/>
        <v>2.3734177215189876</v>
      </c>
      <c r="W47" s="157">
        <f t="shared" si="16"/>
        <v>3.1538571893977414E-2</v>
      </c>
      <c r="X47" s="156">
        <f t="shared" si="17"/>
        <v>4.7307857840966118E-3</v>
      </c>
      <c r="Y47" s="154">
        <f t="shared" si="18"/>
        <v>5.4417671558611522E-3</v>
      </c>
      <c r="Z47" s="75">
        <f t="shared" si="25"/>
        <v>60929.415649454633</v>
      </c>
      <c r="AA47" s="75">
        <f t="shared" si="26"/>
        <v>2074097.792045628</v>
      </c>
      <c r="AB47" s="75">
        <f t="shared" si="27"/>
        <v>5798776.940778994</v>
      </c>
      <c r="AC47" s="75">
        <f t="shared" si="19"/>
        <v>7933804.1484740768</v>
      </c>
      <c r="AD47" s="185">
        <f t="shared" si="20"/>
        <v>1.8613371094078205E-3</v>
      </c>
      <c r="AF47" s="61"/>
    </row>
    <row r="48" spans="1:32">
      <c r="A48" s="69">
        <v>54</v>
      </c>
      <c r="B48" s="78" t="s">
        <v>29</v>
      </c>
      <c r="C48" s="152">
        <v>18543189</v>
      </c>
      <c r="D48" s="152">
        <v>8019249.3600000003</v>
      </c>
      <c r="E48" s="153">
        <f t="shared" si="21"/>
        <v>0.43246333519007979</v>
      </c>
      <c r="F48" s="152">
        <f t="shared" si="9"/>
        <v>3468031.3239465128</v>
      </c>
      <c r="G48" s="174">
        <f t="shared" si="22"/>
        <v>1.5221242460287995E-3</v>
      </c>
      <c r="H48" s="91">
        <v>34709</v>
      </c>
      <c r="I48" s="174">
        <f t="shared" si="23"/>
        <v>6.0004059164220159E-3</v>
      </c>
      <c r="J48" s="154">
        <f t="shared" si="10"/>
        <v>5.1003450289587131E-3</v>
      </c>
      <c r="K48" s="152">
        <v>1541.5</v>
      </c>
      <c r="L48" s="174">
        <f t="shared" si="24"/>
        <v>2.4027220978733214E-2</v>
      </c>
      <c r="M48" s="154">
        <f t="shared" si="11"/>
        <v>3.6040831468099818E-3</v>
      </c>
      <c r="N48" s="174">
        <f t="shared" si="12"/>
        <v>8.7044281757686949E-3</v>
      </c>
      <c r="O48" s="155">
        <v>9838</v>
      </c>
      <c r="P48" s="155">
        <v>7575</v>
      </c>
      <c r="Q48" s="156">
        <v>1.6303971907999999</v>
      </c>
      <c r="R48" s="157">
        <f t="shared" si="13"/>
        <v>7.0428231540132936E-3</v>
      </c>
      <c r="S48" s="180">
        <f t="shared" si="4"/>
        <v>1.1482599085604469E-2</v>
      </c>
      <c r="T48" s="180">
        <f t="shared" si="14"/>
        <v>5.9555353796581761E-3</v>
      </c>
      <c r="U48" s="156">
        <f t="shared" si="15"/>
        <v>5.0622050727094497E-3</v>
      </c>
      <c r="V48" s="157">
        <f t="shared" si="5"/>
        <v>1.2987458745874587</v>
      </c>
      <c r="W48" s="157">
        <f t="shared" si="16"/>
        <v>1.7258061978010494E-2</v>
      </c>
      <c r="X48" s="156">
        <f t="shared" si="17"/>
        <v>2.5887092967015741E-3</v>
      </c>
      <c r="Y48" s="154">
        <f t="shared" si="18"/>
        <v>7.6509143694110243E-3</v>
      </c>
      <c r="Z48" s="75">
        <f t="shared" si="25"/>
        <v>3243967.897217256</v>
      </c>
      <c r="AA48" s="75">
        <f t="shared" si="26"/>
        <v>9275486.4261234403</v>
      </c>
      <c r="AB48" s="75">
        <f t="shared" si="27"/>
        <v>8152856.3333383668</v>
      </c>
      <c r="AC48" s="75">
        <f t="shared" si="19"/>
        <v>20672310.656679064</v>
      </c>
      <c r="AD48" s="185">
        <f t="shared" si="20"/>
        <v>4.8498977593093295E-3</v>
      </c>
      <c r="AF48" s="61"/>
    </row>
    <row r="49" spans="1:32">
      <c r="A49" s="69">
        <v>55</v>
      </c>
      <c r="B49" s="78" t="s">
        <v>30</v>
      </c>
      <c r="C49" s="152">
        <v>165708544</v>
      </c>
      <c r="D49" s="152">
        <v>35449978.850000001</v>
      </c>
      <c r="E49" s="153">
        <f t="shared" si="21"/>
        <v>0.21392969845900042</v>
      </c>
      <c r="F49" s="152">
        <f t="shared" si="9"/>
        <v>7583803.2857584432</v>
      </c>
      <c r="G49" s="174">
        <f t="shared" si="22"/>
        <v>3.3285428475397002E-3</v>
      </c>
      <c r="H49" s="91">
        <v>86766</v>
      </c>
      <c r="I49" s="174">
        <f t="shared" si="23"/>
        <v>1.4999891087161044E-2</v>
      </c>
      <c r="J49" s="154">
        <f t="shared" si="10"/>
        <v>1.2749907424086887E-2</v>
      </c>
      <c r="K49" s="152">
        <v>1667.4</v>
      </c>
      <c r="L49" s="174">
        <f t="shared" si="24"/>
        <v>2.5989612883515902E-2</v>
      </c>
      <c r="M49" s="154">
        <f t="shared" si="11"/>
        <v>3.8984419325273851E-3</v>
      </c>
      <c r="N49" s="174">
        <f t="shared" si="12"/>
        <v>1.6648349356614273E-2</v>
      </c>
      <c r="O49" s="155">
        <v>13606</v>
      </c>
      <c r="P49" s="155">
        <v>22970</v>
      </c>
      <c r="Q49" s="156">
        <v>1.9100372027999999</v>
      </c>
      <c r="R49" s="157">
        <f t="shared" si="13"/>
        <v>2.1356257141608628E-2</v>
      </c>
      <c r="S49" s="180">
        <f t="shared" si="4"/>
        <v>4.0791245653035664E-2</v>
      </c>
      <c r="T49" s="180">
        <f t="shared" si="14"/>
        <v>2.1156682808123412E-2</v>
      </c>
      <c r="U49" s="156">
        <f t="shared" si="15"/>
        <v>1.7983180386904898E-2</v>
      </c>
      <c r="V49" s="157">
        <f t="shared" si="5"/>
        <v>0.59233783195472356</v>
      </c>
      <c r="W49" s="157">
        <f t="shared" si="16"/>
        <v>7.8711341578214088E-3</v>
      </c>
      <c r="X49" s="156">
        <f t="shared" si="17"/>
        <v>1.1806701236732112E-3</v>
      </c>
      <c r="Y49" s="154">
        <f t="shared" si="18"/>
        <v>1.9163850510578111E-2</v>
      </c>
      <c r="Z49" s="75">
        <f t="shared" si="25"/>
        <v>7093827.0447382387</v>
      </c>
      <c r="AA49" s="75">
        <f t="shared" si="26"/>
        <v>17740572.425482675</v>
      </c>
      <c r="AB49" s="75">
        <f t="shared" si="27"/>
        <v>20421104.257940345</v>
      </c>
      <c r="AC49" s="75">
        <f t="shared" si="19"/>
        <v>45255503.72816126</v>
      </c>
      <c r="AD49" s="185">
        <f t="shared" si="20"/>
        <v>1.0617321390567945E-2</v>
      </c>
      <c r="AF49" s="61"/>
    </row>
    <row r="50" spans="1:32">
      <c r="A50" s="69">
        <v>58</v>
      </c>
      <c r="B50" s="78" t="s">
        <v>130</v>
      </c>
      <c r="C50" s="152">
        <v>665856327</v>
      </c>
      <c r="D50" s="152">
        <v>347547002.57999998</v>
      </c>
      <c r="E50" s="153">
        <f t="shared" si="21"/>
        <v>0.52195494506429763</v>
      </c>
      <c r="F50" s="152">
        <f t="shared" si="9"/>
        <v>181403876.6389052</v>
      </c>
      <c r="G50" s="174">
        <f t="shared" si="22"/>
        <v>7.9618438579003289E-2</v>
      </c>
      <c r="H50" s="91">
        <v>412199</v>
      </c>
      <c r="I50" s="174">
        <f t="shared" si="23"/>
        <v>7.125994175410523E-2</v>
      </c>
      <c r="J50" s="154">
        <f t="shared" si="10"/>
        <v>6.0570950490989442E-2</v>
      </c>
      <c r="K50" s="152">
        <v>60.1</v>
      </c>
      <c r="L50" s="174">
        <f t="shared" si="24"/>
        <v>9.3677326034503157E-4</v>
      </c>
      <c r="M50" s="154">
        <f t="shared" si="11"/>
        <v>1.4051598905175474E-4</v>
      </c>
      <c r="N50" s="174">
        <f t="shared" si="12"/>
        <v>6.07114664800412E-2</v>
      </c>
      <c r="O50" s="155">
        <v>47668</v>
      </c>
      <c r="P50" s="155">
        <v>40796</v>
      </c>
      <c r="Q50" s="156">
        <v>1.7340616191</v>
      </c>
      <c r="R50" s="157">
        <f t="shared" si="13"/>
        <v>3.7929902757904463E-2</v>
      </c>
      <c r="S50" s="180">
        <f t="shared" si="4"/>
        <v>6.5772788588677369E-2</v>
      </c>
      <c r="T50" s="180">
        <f t="shared" si="14"/>
        <v>3.4113545769418024E-2</v>
      </c>
      <c r="U50" s="156">
        <f t="shared" si="15"/>
        <v>2.899651390400532E-2</v>
      </c>
      <c r="V50" s="157">
        <f t="shared" si="5"/>
        <v>1.1684478870477497</v>
      </c>
      <c r="W50" s="157">
        <f t="shared" si="16"/>
        <v>1.5526629533395704E-2</v>
      </c>
      <c r="X50" s="156">
        <f t="shared" si="17"/>
        <v>2.3289944300093554E-3</v>
      </c>
      <c r="Y50" s="154">
        <f t="shared" si="18"/>
        <v>3.1325508334014679E-2</v>
      </c>
      <c r="Z50" s="75">
        <f t="shared" si="25"/>
        <v>169683690.04744422</v>
      </c>
      <c r="AA50" s="75">
        <f t="shared" si="26"/>
        <v>64694471.810716048</v>
      </c>
      <c r="AB50" s="75">
        <f t="shared" si="27"/>
        <v>33380633.566766184</v>
      </c>
      <c r="AC50" s="75">
        <f t="shared" si="19"/>
        <v>267758795.42492643</v>
      </c>
      <c r="AD50" s="185">
        <f t="shared" si="20"/>
        <v>6.2818462993015606E-2</v>
      </c>
      <c r="AF50" s="61"/>
    </row>
    <row r="51" spans="1:32">
      <c r="A51" s="69">
        <v>31</v>
      </c>
      <c r="B51" s="78" t="s">
        <v>131</v>
      </c>
      <c r="C51" s="152">
        <v>1378432520</v>
      </c>
      <c r="D51" s="152">
        <v>868179354.09000003</v>
      </c>
      <c r="E51" s="153">
        <f t="shared" si="21"/>
        <v>0.62983087056738918</v>
      </c>
      <c r="F51" s="152">
        <f t="shared" si="9"/>
        <v>546806158.39513838</v>
      </c>
      <c r="G51" s="174">
        <f t="shared" si="22"/>
        <v>0.23999405824972903</v>
      </c>
      <c r="H51" s="91">
        <v>132169</v>
      </c>
      <c r="I51" s="174">
        <f t="shared" si="23"/>
        <v>2.2849049225491413E-2</v>
      </c>
      <c r="J51" s="154">
        <f t="shared" si="10"/>
        <v>1.9421691841667702E-2</v>
      </c>
      <c r="K51" s="152">
        <v>70.8</v>
      </c>
      <c r="L51" s="174">
        <f t="shared" si="24"/>
        <v>1.103553191887325E-3</v>
      </c>
      <c r="M51" s="154">
        <f t="shared" si="11"/>
        <v>1.6553297878309873E-4</v>
      </c>
      <c r="N51" s="174">
        <f t="shared" si="12"/>
        <v>1.9587224820450801E-2</v>
      </c>
      <c r="O51" s="155">
        <v>4761</v>
      </c>
      <c r="P51" s="155">
        <v>6438</v>
      </c>
      <c r="Q51" s="156">
        <v>1.903799258</v>
      </c>
      <c r="R51" s="157">
        <f t="shared" si="13"/>
        <v>5.9857023716881298E-3</v>
      </c>
      <c r="S51" s="180">
        <f t="shared" si="4"/>
        <v>1.1395575733828702E-2</v>
      </c>
      <c r="T51" s="180">
        <f t="shared" si="14"/>
        <v>5.91040007131089E-3</v>
      </c>
      <c r="U51" s="156">
        <f t="shared" si="15"/>
        <v>5.0238400606142566E-3</v>
      </c>
      <c r="V51" s="157">
        <f t="shared" si="5"/>
        <v>0.73951537744641194</v>
      </c>
      <c r="W51" s="157">
        <f t="shared" si="16"/>
        <v>9.8268664158151723E-3</v>
      </c>
      <c r="X51" s="156">
        <f t="shared" si="17"/>
        <v>1.4740299623722758E-3</v>
      </c>
      <c r="Y51" s="154">
        <f t="shared" si="18"/>
        <v>6.4978700229865322E-3</v>
      </c>
      <c r="Z51" s="75">
        <f t="shared" si="25"/>
        <v>511477970.68221647</v>
      </c>
      <c r="AA51" s="75">
        <f t="shared" si="26"/>
        <v>20872254.245635744</v>
      </c>
      <c r="AB51" s="75">
        <f t="shared" si="27"/>
        <v>6924165.9509245604</v>
      </c>
      <c r="AC51" s="75">
        <f t="shared" si="19"/>
        <v>539274390.87877679</v>
      </c>
      <c r="AD51" s="185">
        <f t="shared" si="20"/>
        <v>0.12651830283572385</v>
      </c>
      <c r="AF51" s="61"/>
    </row>
    <row r="52" spans="1:32">
      <c r="A52" s="69">
        <v>57</v>
      </c>
      <c r="B52" s="78" t="s">
        <v>31</v>
      </c>
      <c r="C52" s="152">
        <v>441398458</v>
      </c>
      <c r="D52" s="152">
        <v>220953498.33000001</v>
      </c>
      <c r="E52" s="153">
        <f t="shared" si="21"/>
        <v>0.50057605396075033</v>
      </c>
      <c r="F52" s="152">
        <f t="shared" si="9"/>
        <v>110604030.30285464</v>
      </c>
      <c r="G52" s="174">
        <f t="shared" si="22"/>
        <v>4.8544277864508587E-2</v>
      </c>
      <c r="H52" s="91">
        <v>306322</v>
      </c>
      <c r="I52" s="174">
        <f t="shared" si="23"/>
        <v>5.2956188341070756E-2</v>
      </c>
      <c r="J52" s="154">
        <f t="shared" si="10"/>
        <v>4.5012760089910141E-2</v>
      </c>
      <c r="K52" s="152">
        <v>915.8</v>
      </c>
      <c r="L52" s="174">
        <f t="shared" si="24"/>
        <v>1.4274491710881529E-2</v>
      </c>
      <c r="M52" s="154">
        <f t="shared" si="11"/>
        <v>2.1411737566322292E-3</v>
      </c>
      <c r="N52" s="174">
        <f t="shared" si="12"/>
        <v>4.7153933846542373E-2</v>
      </c>
      <c r="O52" s="155">
        <v>43432</v>
      </c>
      <c r="P52" s="155">
        <v>47092</v>
      </c>
      <c r="Q52" s="156">
        <v>1.8493369051999999</v>
      </c>
      <c r="R52" s="157">
        <f t="shared" si="13"/>
        <v>4.378358125000581E-2</v>
      </c>
      <c r="S52" s="180">
        <f t="shared" si="4"/>
        <v>8.0970592647458484E-2</v>
      </c>
      <c r="T52" s="180">
        <f t="shared" si="14"/>
        <v>4.1995999827981793E-2</v>
      </c>
      <c r="U52" s="156">
        <f t="shared" si="15"/>
        <v>3.5696599853784525E-2</v>
      </c>
      <c r="V52" s="157">
        <f t="shared" si="5"/>
        <v>0.92227979274611394</v>
      </c>
      <c r="W52" s="157">
        <f t="shared" si="16"/>
        <v>1.2255485954351926E-2</v>
      </c>
      <c r="X52" s="156">
        <f t="shared" si="17"/>
        <v>1.8383228931527888E-3</v>
      </c>
      <c r="Y52" s="154">
        <f t="shared" si="18"/>
        <v>3.7534922746937316E-2</v>
      </c>
      <c r="Z52" s="75">
        <f t="shared" si="25"/>
        <v>103458097.71896936</v>
      </c>
      <c r="AA52" s="75">
        <f t="shared" si="26"/>
        <v>50247490.644990176</v>
      </c>
      <c r="AB52" s="75">
        <f t="shared" si="27"/>
        <v>39997419.636823319</v>
      </c>
      <c r="AC52" s="75">
        <f t="shared" si="19"/>
        <v>193703008.00078288</v>
      </c>
      <c r="AD52" s="185">
        <f t="shared" si="20"/>
        <v>4.5444353080624215E-2</v>
      </c>
      <c r="AF52" s="61"/>
    </row>
    <row r="53" spans="1:32">
      <c r="A53" s="69">
        <v>56</v>
      </c>
      <c r="B53" s="78" t="s">
        <v>32</v>
      </c>
      <c r="C53" s="152">
        <v>260135245</v>
      </c>
      <c r="D53" s="152">
        <v>116186275.01000001</v>
      </c>
      <c r="E53" s="153">
        <f t="shared" si="21"/>
        <v>0.44663795945835794</v>
      </c>
      <c r="F53" s="152">
        <f t="shared" si="9"/>
        <v>51893200.787534006</v>
      </c>
      <c r="G53" s="174">
        <f t="shared" si="22"/>
        <v>2.2776005100455812E-2</v>
      </c>
      <c r="H53" s="91">
        <v>46784</v>
      </c>
      <c r="I53" s="174">
        <f t="shared" si="23"/>
        <v>8.0879019964242016E-3</v>
      </c>
      <c r="J53" s="154">
        <f t="shared" si="10"/>
        <v>6.8747166969605712E-3</v>
      </c>
      <c r="K53" s="152">
        <v>739.2</v>
      </c>
      <c r="L53" s="174">
        <f t="shared" si="24"/>
        <v>1.1521843494959192E-2</v>
      </c>
      <c r="M53" s="154">
        <f t="shared" si="11"/>
        <v>1.7282765242438787E-3</v>
      </c>
      <c r="N53" s="174">
        <f t="shared" si="12"/>
        <v>8.6029932212044503E-3</v>
      </c>
      <c r="O53" s="155">
        <v>7735</v>
      </c>
      <c r="P53" s="155">
        <v>5334</v>
      </c>
      <c r="Q53" s="156">
        <v>2.0438860060000001</v>
      </c>
      <c r="R53" s="157">
        <f t="shared" si="13"/>
        <v>4.9592631951824303E-3</v>
      </c>
      <c r="S53" s="180">
        <f t="shared" si="4"/>
        <v>1.0136168644704216E-2</v>
      </c>
      <c r="T53" s="180">
        <f t="shared" si="14"/>
        <v>5.2571992218554417E-3</v>
      </c>
      <c r="U53" s="156">
        <f t="shared" si="15"/>
        <v>4.4686193385771256E-3</v>
      </c>
      <c r="V53" s="157">
        <f t="shared" si="5"/>
        <v>1.4501312335958005</v>
      </c>
      <c r="W53" s="157">
        <f t="shared" si="16"/>
        <v>1.9269708720803205E-2</v>
      </c>
      <c r="X53" s="156">
        <f t="shared" si="17"/>
        <v>2.8904563081204805E-3</v>
      </c>
      <c r="Y53" s="154">
        <f t="shared" si="18"/>
        <v>7.3590756466976066E-3</v>
      </c>
      <c r="Z53" s="75">
        <f t="shared" si="25"/>
        <v>48540472.018298827</v>
      </c>
      <c r="AA53" s="75">
        <f t="shared" si="26"/>
        <v>9167396.7819565479</v>
      </c>
      <c r="AB53" s="75">
        <f t="shared" si="27"/>
        <v>7841871.3890681528</v>
      </c>
      <c r="AC53" s="75">
        <f t="shared" si="19"/>
        <v>65549740.18932353</v>
      </c>
      <c r="AD53" s="185">
        <f t="shared" si="20"/>
        <v>1.5378519767203421E-2</v>
      </c>
      <c r="AF53" s="61"/>
    </row>
    <row r="54" spans="1:32">
      <c r="A54" s="69">
        <v>59</v>
      </c>
      <c r="B54" s="78" t="s">
        <v>33</v>
      </c>
      <c r="C54" s="152">
        <v>4746914</v>
      </c>
      <c r="D54" s="152">
        <v>1948534</v>
      </c>
      <c r="E54" s="153">
        <f t="shared" si="21"/>
        <v>0.41048436942400895</v>
      </c>
      <c r="F54" s="152">
        <f t="shared" si="9"/>
        <v>799842.75029124191</v>
      </c>
      <c r="G54" s="174">
        <f t="shared" si="22"/>
        <v>3.5105220498505353E-4</v>
      </c>
      <c r="H54" s="91">
        <v>1552</v>
      </c>
      <c r="I54" s="174">
        <f t="shared" si="23"/>
        <v>2.6830591438206137E-4</v>
      </c>
      <c r="J54" s="154">
        <f t="shared" si="10"/>
        <v>2.2806002722475217E-4</v>
      </c>
      <c r="K54" s="152">
        <v>1764.9</v>
      </c>
      <c r="L54" s="174">
        <f t="shared" si="24"/>
        <v>2.7509336558784465E-2</v>
      </c>
      <c r="M54" s="154">
        <f t="shared" si="11"/>
        <v>4.1264004838176696E-3</v>
      </c>
      <c r="N54" s="174">
        <f t="shared" si="12"/>
        <v>4.354460511042422E-3</v>
      </c>
      <c r="O54" s="155">
        <v>549</v>
      </c>
      <c r="P54" s="155">
        <v>170</v>
      </c>
      <c r="Q54" s="156">
        <v>2.1071899398</v>
      </c>
      <c r="R54" s="157">
        <f t="shared" si="13"/>
        <v>1.5805675725178347E-4</v>
      </c>
      <c r="S54" s="180">
        <f t="shared" si="4"/>
        <v>3.3305560879836883E-4</v>
      </c>
      <c r="T54" s="180">
        <f t="shared" si="14"/>
        <v>1.7274176750444833E-4</v>
      </c>
      <c r="U54" s="156">
        <f t="shared" si="15"/>
        <v>1.4683050237878107E-4</v>
      </c>
      <c r="V54" s="157">
        <f t="shared" si="5"/>
        <v>3.2294117647058824</v>
      </c>
      <c r="W54" s="157">
        <f t="shared" si="16"/>
        <v>4.2913236129057078E-2</v>
      </c>
      <c r="X54" s="156">
        <f t="shared" si="17"/>
        <v>6.4369854193585619E-3</v>
      </c>
      <c r="Y54" s="154">
        <f t="shared" si="18"/>
        <v>6.5838159217373425E-3</v>
      </c>
      <c r="Z54" s="75">
        <f t="shared" si="25"/>
        <v>748166.31177774328</v>
      </c>
      <c r="AA54" s="75">
        <f t="shared" si="26"/>
        <v>4640137.0139053017</v>
      </c>
      <c r="AB54" s="75">
        <f t="shared" si="27"/>
        <v>7015750.3722267346</v>
      </c>
      <c r="AC54" s="75">
        <f t="shared" si="19"/>
        <v>12404053.69790978</v>
      </c>
      <c r="AD54" s="185">
        <f t="shared" si="20"/>
        <v>2.910095210687468E-3</v>
      </c>
      <c r="AF54" s="61"/>
    </row>
    <row r="55" spans="1:32">
      <c r="A55" s="69">
        <v>60</v>
      </c>
      <c r="B55" s="78" t="s">
        <v>34</v>
      </c>
      <c r="C55" s="152">
        <v>3262285</v>
      </c>
      <c r="D55" s="152">
        <v>614010</v>
      </c>
      <c r="E55" s="153">
        <f t="shared" si="21"/>
        <v>0.18821470227156731</v>
      </c>
      <c r="F55" s="152">
        <f t="shared" si="9"/>
        <v>115565.70934176505</v>
      </c>
      <c r="G55" s="174">
        <f t="shared" si="22"/>
        <v>5.0721966374410545E-5</v>
      </c>
      <c r="H55" s="91">
        <v>3573</v>
      </c>
      <c r="I55" s="174">
        <f t="shared" si="23"/>
        <v>6.1769138665406279E-4</v>
      </c>
      <c r="J55" s="154">
        <f t="shared" si="10"/>
        <v>5.2503767865595338E-4</v>
      </c>
      <c r="K55" s="152">
        <v>879.3</v>
      </c>
      <c r="L55" s="174">
        <f t="shared" si="24"/>
        <v>1.3705569514498939E-2</v>
      </c>
      <c r="M55" s="154">
        <f t="shared" si="11"/>
        <v>2.0558354271748409E-3</v>
      </c>
      <c r="N55" s="174">
        <f t="shared" si="12"/>
        <v>2.5808731058307942E-3</v>
      </c>
      <c r="O55" s="155">
        <v>1377</v>
      </c>
      <c r="P55" s="155">
        <v>417</v>
      </c>
      <c r="Q55" s="156">
        <v>1.7545098130000001</v>
      </c>
      <c r="R55" s="157">
        <f t="shared" si="13"/>
        <v>3.8770392808231595E-4</v>
      </c>
      <c r="S55" s="180">
        <f t="shared" si="4"/>
        <v>6.8023034635906966E-4</v>
      </c>
      <c r="T55" s="180">
        <f t="shared" si="14"/>
        <v>3.5280652610587192E-4</v>
      </c>
      <c r="U55" s="156">
        <f t="shared" si="15"/>
        <v>2.9988554718999113E-4</v>
      </c>
      <c r="V55" s="157">
        <f t="shared" si="5"/>
        <v>3.3021582733812949</v>
      </c>
      <c r="W55" s="157">
        <f t="shared" si="16"/>
        <v>4.3879910041151653E-2</v>
      </c>
      <c r="X55" s="156">
        <f t="shared" si="17"/>
        <v>6.5819865061727476E-3</v>
      </c>
      <c r="Y55" s="154">
        <f t="shared" si="18"/>
        <v>6.8818720533627385E-3</v>
      </c>
      <c r="Z55" s="75">
        <f t="shared" si="25"/>
        <v>108099.21136963989</v>
      </c>
      <c r="AA55" s="75">
        <f t="shared" si="26"/>
        <v>2750192.543069208</v>
      </c>
      <c r="AB55" s="75">
        <f t="shared" si="27"/>
        <v>7333360.6215490662</v>
      </c>
      <c r="AC55" s="75">
        <f t="shared" si="19"/>
        <v>10191652.375987913</v>
      </c>
      <c r="AD55" s="185">
        <f t="shared" si="20"/>
        <v>2.391047272985588E-3</v>
      </c>
      <c r="AF55" s="61"/>
    </row>
    <row r="56" spans="1:32">
      <c r="B56" s="80" t="s">
        <v>35</v>
      </c>
      <c r="C56" s="158">
        <f>SUM(C5:C55)</f>
        <v>9846668773</v>
      </c>
      <c r="D56" s="158">
        <f>SUM(D5:D55)</f>
        <v>4584069496.8400002</v>
      </c>
      <c r="E56" s="159">
        <f t="shared" si="21"/>
        <v>0.4655452115348615</v>
      </c>
      <c r="F56" s="160">
        <f t="shared" ref="F56:K56" si="28">SUM(F5:F55)</f>
        <v>2278415400.7102623</v>
      </c>
      <c r="G56" s="175">
        <f t="shared" si="28"/>
        <v>0.99999999999999978</v>
      </c>
      <c r="H56" s="94">
        <f t="shared" si="28"/>
        <v>5784442</v>
      </c>
      <c r="I56" s="175">
        <f t="shared" si="28"/>
        <v>1.0000000000000002</v>
      </c>
      <c r="J56" s="161">
        <f t="shared" si="28"/>
        <v>0.8500000000000002</v>
      </c>
      <c r="K56" s="162">
        <f t="shared" si="28"/>
        <v>64156.400000000016</v>
      </c>
      <c r="L56" s="175">
        <f t="shared" si="24"/>
        <v>1</v>
      </c>
      <c r="M56" s="161">
        <f>SUM(M5:M55)</f>
        <v>0.14999999999999997</v>
      </c>
      <c r="N56" s="175">
        <f>SUM(N5:N55)</f>
        <v>0.99999999999999989</v>
      </c>
      <c r="O56" s="163">
        <f>SUM(O5:O55)</f>
        <v>964355</v>
      </c>
      <c r="P56" s="163">
        <f t="shared" ref="P56:X56" si="29">SUM(P5:P55)</f>
        <v>1075563</v>
      </c>
      <c r="Q56" s="164">
        <f t="shared" si="29"/>
        <v>98.366423307599987</v>
      </c>
      <c r="R56" s="164">
        <f>SUM(R5:R55)</f>
        <v>0.99999999999999989</v>
      </c>
      <c r="S56" s="181">
        <f t="shared" si="29"/>
        <v>1.9280548856824229</v>
      </c>
      <c r="T56" s="181">
        <f t="shared" si="29"/>
        <v>1</v>
      </c>
      <c r="U56" s="164">
        <f t="shared" si="29"/>
        <v>0.85</v>
      </c>
      <c r="V56" s="164">
        <f>SUM(V5:V55)</f>
        <v>75.254444922162563</v>
      </c>
      <c r="W56" s="164">
        <f t="shared" si="29"/>
        <v>1</v>
      </c>
      <c r="X56" s="164">
        <f t="shared" si="29"/>
        <v>0.15</v>
      </c>
      <c r="Y56" s="161">
        <f t="shared" ref="Y56:AD56" si="30">SUM(Y5:Y55)</f>
        <v>0.99999999999999989</v>
      </c>
      <c r="Z56" s="95">
        <f t="shared" si="30"/>
        <v>2131210974.1899986</v>
      </c>
      <c r="AA56" s="95">
        <f t="shared" si="30"/>
        <v>1065605487.0949996</v>
      </c>
      <c r="AB56" s="95">
        <f t="shared" si="30"/>
        <v>1065605487.0949994</v>
      </c>
      <c r="AC56" s="95">
        <f t="shared" si="30"/>
        <v>4262421948.3799987</v>
      </c>
      <c r="AD56" s="186">
        <f t="shared" si="30"/>
        <v>0.99999999999999978</v>
      </c>
    </row>
    <row r="57" spans="1:32">
      <c r="S57" s="182"/>
    </row>
    <row r="58" spans="1:32" ht="86.45" customHeight="1">
      <c r="C58" s="217" t="s">
        <v>205</v>
      </c>
      <c r="D58" s="217"/>
      <c r="E58" s="217"/>
      <c r="F58" s="217"/>
      <c r="G58" s="217"/>
      <c r="S58" s="182"/>
    </row>
    <row r="59" spans="1:32">
      <c r="S59" s="183"/>
      <c r="T59" s="183"/>
    </row>
    <row r="60" spans="1:32">
      <c r="S60" s="182"/>
    </row>
    <row r="61" spans="1:32">
      <c r="S61" s="182"/>
    </row>
    <row r="62" spans="1:32">
      <c r="S62" s="182"/>
    </row>
    <row r="63" spans="1:32">
      <c r="J63" s="2"/>
      <c r="M63" s="2"/>
      <c r="S63" s="182"/>
    </row>
    <row r="64" spans="1:32">
      <c r="J64" s="2"/>
      <c r="M64" s="2"/>
      <c r="S64" s="182"/>
    </row>
    <row r="65" spans="10:19">
      <c r="J65" s="2"/>
      <c r="M65" s="2"/>
      <c r="S65" s="182"/>
    </row>
    <row r="66" spans="10:19">
      <c r="J66" s="2"/>
      <c r="M66" s="2"/>
      <c r="S66" s="182"/>
    </row>
    <row r="67" spans="10:19">
      <c r="J67" s="2"/>
      <c r="M67" s="2"/>
      <c r="S67" s="182"/>
    </row>
    <row r="68" spans="10:19">
      <c r="J68" s="2"/>
      <c r="M68" s="2"/>
      <c r="S68" s="182"/>
    </row>
    <row r="69" spans="10:19">
      <c r="J69" s="2"/>
      <c r="M69" s="2"/>
      <c r="S69" s="182"/>
    </row>
    <row r="70" spans="10:19">
      <c r="J70" s="2"/>
      <c r="M70" s="2"/>
      <c r="S70" s="182"/>
    </row>
    <row r="71" spans="10:19">
      <c r="J71" s="2"/>
      <c r="M71" s="2"/>
      <c r="S71" s="182"/>
    </row>
    <row r="72" spans="10:19">
      <c r="J72" s="2"/>
      <c r="M72" s="2"/>
      <c r="S72" s="182"/>
    </row>
    <row r="73" spans="10:19">
      <c r="J73" s="2"/>
      <c r="M73" s="2"/>
      <c r="S73" s="182"/>
    </row>
    <row r="74" spans="10:19">
      <c r="J74" s="2"/>
      <c r="M74" s="2"/>
      <c r="S74" s="182"/>
    </row>
    <row r="75" spans="10:19">
      <c r="J75" s="2"/>
      <c r="M75" s="2"/>
      <c r="S75" s="182"/>
    </row>
    <row r="76" spans="10:19">
      <c r="J76" s="2"/>
      <c r="M76" s="2"/>
      <c r="S76" s="182"/>
    </row>
    <row r="77" spans="10:19">
      <c r="J77" s="2"/>
      <c r="M77" s="2"/>
      <c r="S77" s="182"/>
    </row>
    <row r="78" spans="10:19">
      <c r="J78" s="2"/>
      <c r="M78" s="2"/>
      <c r="S78" s="182"/>
    </row>
    <row r="79" spans="10:19">
      <c r="J79" s="2"/>
      <c r="M79" s="2"/>
      <c r="S79" s="182"/>
    </row>
    <row r="80" spans="10:19">
      <c r="J80" s="2"/>
      <c r="M80" s="2"/>
      <c r="S80" s="182"/>
    </row>
    <row r="81" spans="10:19">
      <c r="J81" s="2"/>
      <c r="M81" s="2"/>
      <c r="S81" s="182"/>
    </row>
    <row r="82" spans="10:19">
      <c r="J82" s="2"/>
      <c r="M82" s="2"/>
      <c r="S82" s="182"/>
    </row>
    <row r="83" spans="10:19">
      <c r="J83" s="2"/>
      <c r="M83" s="2"/>
      <c r="S83" s="182"/>
    </row>
    <row r="84" spans="10:19">
      <c r="J84" s="2"/>
      <c r="M84" s="2"/>
      <c r="S84" s="182"/>
    </row>
    <row r="85" spans="10:19">
      <c r="J85" s="2"/>
      <c r="M85" s="2"/>
      <c r="S85" s="182"/>
    </row>
  </sheetData>
  <mergeCells count="27">
    <mergeCell ref="AD3:AD4"/>
    <mergeCell ref="T3:T4"/>
    <mergeCell ref="U3:U4"/>
    <mergeCell ref="V3:V4"/>
    <mergeCell ref="W3:W4"/>
    <mergeCell ref="Y3:Y4"/>
    <mergeCell ref="K3:K4"/>
    <mergeCell ref="L3:L4"/>
    <mergeCell ref="M3:M4"/>
    <mergeCell ref="O3:O4"/>
    <mergeCell ref="S3:S4"/>
    <mergeCell ref="C58:G58"/>
    <mergeCell ref="Z1:AD1"/>
    <mergeCell ref="C1:G1"/>
    <mergeCell ref="H1:N1"/>
    <mergeCell ref="O1:T1"/>
    <mergeCell ref="U1:Y1"/>
    <mergeCell ref="N3:N4"/>
    <mergeCell ref="X3:X4"/>
    <mergeCell ref="C3:C4"/>
    <mergeCell ref="D3:D4"/>
    <mergeCell ref="E3:E4"/>
    <mergeCell ref="F3:F4"/>
    <mergeCell ref="G3:G4"/>
    <mergeCell ref="H3:H4"/>
    <mergeCell ref="I3:I4"/>
    <mergeCell ref="J3:J4"/>
  </mergeCells>
  <phoneticPr fontId="0" type="noConversion"/>
  <conditionalFormatting sqref="AF5:AF55">
    <cfRule type="top10" dxfId="0" priority="2" rank="5"/>
  </conditionalFormatting>
  <printOptions horizontalCentered="1"/>
  <pageMargins left="0.19685039370078741" right="0.19685039370078741" top="0.59055118110236227" bottom="0.23622047244094491" header="0.23622047244094491" footer="0.23622047244094491"/>
  <pageSetup scale="85" orientation="portrait" r:id="rId1"/>
  <headerFooter alignWithMargins="0">
    <oddHeader>&amp;LANEXO I&amp;CArticulo 14 Fracción I</oddHeader>
  </headerFooter>
  <colBreaks count="4" manualBreakCount="4">
    <brk id="7" max="1048575" man="1"/>
    <brk id="14" max="1048575" man="1"/>
    <brk id="20" max="1048575" man="1"/>
    <brk id="2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zoomScaleSheetLayoutView="100" workbookViewId="0">
      <selection activeCell="B1" sqref="B1:Q56"/>
    </sheetView>
  </sheetViews>
  <sheetFormatPr baseColWidth="10" defaultColWidth="9.7109375" defaultRowHeight="12.75"/>
  <cols>
    <col min="1" max="1" width="3" style="2" bestFit="1" customWidth="1"/>
    <col min="2" max="2" width="26.28515625" style="2" customWidth="1"/>
    <col min="3" max="3" width="12.7109375" style="2" hidden="1" customWidth="1"/>
    <col min="4" max="8" width="11.7109375" style="2" hidden="1" customWidth="1"/>
    <col min="9" max="9" width="13.85546875" style="2" hidden="1" customWidth="1"/>
    <col min="10" max="10" width="12.7109375" style="2" bestFit="1" customWidth="1"/>
    <col min="11" max="15" width="11.7109375" style="2" customWidth="1"/>
    <col min="16" max="16" width="17.42578125" style="70" customWidth="1"/>
    <col min="17" max="17" width="13.7109375" style="2" customWidth="1"/>
    <col min="18" max="16384" width="9.7109375" style="2"/>
  </cols>
  <sheetData>
    <row r="1" spans="1:17" ht="47.25" customHeight="1">
      <c r="B1" s="240" t="s">
        <v>179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1"/>
    </row>
    <row r="2" spans="1:17" ht="8.25" customHeight="1">
      <c r="P2" s="85"/>
    </row>
    <row r="3" spans="1:17" ht="13.5" customHeight="1">
      <c r="B3" s="242" t="s">
        <v>0</v>
      </c>
      <c r="C3" s="243" t="s">
        <v>176</v>
      </c>
      <c r="D3" s="243"/>
      <c r="E3" s="243"/>
      <c r="F3" s="243"/>
      <c r="G3" s="243"/>
      <c r="H3" s="243"/>
      <c r="I3" s="243"/>
      <c r="J3" s="243" t="s">
        <v>190</v>
      </c>
      <c r="K3" s="243"/>
      <c r="L3" s="243"/>
      <c r="M3" s="243"/>
      <c r="N3" s="243"/>
      <c r="O3" s="243"/>
      <c r="P3" s="243"/>
      <c r="Q3" s="244" t="s">
        <v>177</v>
      </c>
    </row>
    <row r="4" spans="1:17" ht="48">
      <c r="B4" s="242"/>
      <c r="C4" s="87" t="s">
        <v>77</v>
      </c>
      <c r="D4" s="88" t="s">
        <v>134</v>
      </c>
      <c r="E4" s="88" t="s">
        <v>78</v>
      </c>
      <c r="F4" s="88" t="s">
        <v>87</v>
      </c>
      <c r="G4" s="88" t="s">
        <v>97</v>
      </c>
      <c r="H4" s="88" t="s">
        <v>98</v>
      </c>
      <c r="I4" s="88" t="s">
        <v>36</v>
      </c>
      <c r="J4" s="87" t="s">
        <v>77</v>
      </c>
      <c r="K4" s="88" t="s">
        <v>134</v>
      </c>
      <c r="L4" s="88" t="s">
        <v>78</v>
      </c>
      <c r="M4" s="88" t="s">
        <v>87</v>
      </c>
      <c r="N4" s="88" t="s">
        <v>97</v>
      </c>
      <c r="O4" s="88" t="s">
        <v>98</v>
      </c>
      <c r="P4" s="87" t="s">
        <v>178</v>
      </c>
      <c r="Q4" s="245"/>
    </row>
    <row r="5" spans="1:17" ht="12.75" customHeight="1">
      <c r="A5" s="69">
        <v>15</v>
      </c>
      <c r="B5" s="78" t="s">
        <v>1</v>
      </c>
      <c r="C5" s="72">
        <v>8456683.4800000004</v>
      </c>
      <c r="D5" s="72">
        <v>1154944.1599999999</v>
      </c>
      <c r="E5" s="72">
        <v>283974.84000000003</v>
      </c>
      <c r="F5" s="72">
        <v>478710.51</v>
      </c>
      <c r="G5" s="72">
        <v>235438.53</v>
      </c>
      <c r="H5" s="72">
        <v>50454.75</v>
      </c>
      <c r="I5" s="73">
        <f>SUM(C5:H5)</f>
        <v>10660206.27</v>
      </c>
      <c r="J5" s="72">
        <f>+C5</f>
        <v>8456683.4800000004</v>
      </c>
      <c r="K5" s="72">
        <f>+D5</f>
        <v>1154944.1599999999</v>
      </c>
      <c r="L5" s="72">
        <f t="shared" ref="L5:O5" si="0">+E5</f>
        <v>283974.84000000003</v>
      </c>
      <c r="M5" s="72">
        <f t="shared" si="0"/>
        <v>478710.51</v>
      </c>
      <c r="N5" s="72">
        <f t="shared" si="0"/>
        <v>235438.53</v>
      </c>
      <c r="O5" s="72">
        <f t="shared" si="0"/>
        <v>50454.75</v>
      </c>
      <c r="P5" s="74">
        <f t="shared" ref="P5:P36" si="1">SUM(J5:O5)</f>
        <v>10660206.27</v>
      </c>
      <c r="Q5" s="86">
        <f>+P5/P$56</f>
        <v>1.2861627539794776E-3</v>
      </c>
    </row>
    <row r="6" spans="1:17" ht="12.75" customHeight="1">
      <c r="A6" s="69">
        <v>11</v>
      </c>
      <c r="B6" s="78" t="s">
        <v>2</v>
      </c>
      <c r="C6" s="72">
        <v>16270247.26</v>
      </c>
      <c r="D6" s="75">
        <v>2222056.33</v>
      </c>
      <c r="E6" s="75">
        <v>546353.77</v>
      </c>
      <c r="F6" s="75">
        <v>921015.71</v>
      </c>
      <c r="G6" s="75">
        <v>452972.26</v>
      </c>
      <c r="H6" s="75">
        <v>97072.48</v>
      </c>
      <c r="I6" s="76">
        <f t="shared" ref="I6:I55" si="2">SUM(C6:H6)</f>
        <v>20509717.810000002</v>
      </c>
      <c r="J6" s="72">
        <f t="shared" ref="J6:J55" si="3">+C6</f>
        <v>16270247.26</v>
      </c>
      <c r="K6" s="72">
        <f t="shared" ref="K6:K55" si="4">+D6</f>
        <v>2222056.33</v>
      </c>
      <c r="L6" s="72">
        <f t="shared" ref="L6:L55" si="5">+E6</f>
        <v>546353.77</v>
      </c>
      <c r="M6" s="72">
        <f t="shared" ref="M6:M55" si="6">+F6</f>
        <v>921015.71</v>
      </c>
      <c r="N6" s="72">
        <f t="shared" ref="N6:N55" si="7">+G6</f>
        <v>452972.26</v>
      </c>
      <c r="O6" s="72">
        <f t="shared" ref="O6:O55" si="8">+H6</f>
        <v>97072.48</v>
      </c>
      <c r="P6" s="74">
        <f t="shared" si="1"/>
        <v>20509717.810000002</v>
      </c>
      <c r="Q6" s="79">
        <f t="shared" ref="Q6:Q55" si="9">+P6/P$56</f>
        <v>2.4745145144223881E-3</v>
      </c>
    </row>
    <row r="7" spans="1:17" ht="12.75" customHeight="1">
      <c r="A7" s="69">
        <v>12</v>
      </c>
      <c r="B7" s="78" t="s">
        <v>132</v>
      </c>
      <c r="C7" s="72">
        <v>17073492.140000001</v>
      </c>
      <c r="D7" s="75">
        <v>2331756.9</v>
      </c>
      <c r="E7" s="75">
        <v>573326.68000000005</v>
      </c>
      <c r="F7" s="75">
        <v>966485.28</v>
      </c>
      <c r="G7" s="75">
        <v>475335.02</v>
      </c>
      <c r="H7" s="75">
        <v>101864.84</v>
      </c>
      <c r="I7" s="76">
        <f t="shared" si="2"/>
        <v>21522260.859999999</v>
      </c>
      <c r="J7" s="72">
        <f t="shared" si="3"/>
        <v>17073492.140000001</v>
      </c>
      <c r="K7" s="72">
        <f t="shared" si="4"/>
        <v>2331756.9</v>
      </c>
      <c r="L7" s="72">
        <f t="shared" si="5"/>
        <v>573326.68000000005</v>
      </c>
      <c r="M7" s="72">
        <f t="shared" si="6"/>
        <v>966485.28</v>
      </c>
      <c r="N7" s="72">
        <f t="shared" si="7"/>
        <v>475335.02</v>
      </c>
      <c r="O7" s="72">
        <f t="shared" si="8"/>
        <v>101864.84</v>
      </c>
      <c r="P7" s="74">
        <f t="shared" si="1"/>
        <v>21522260.859999999</v>
      </c>
      <c r="Q7" s="79">
        <f t="shared" si="9"/>
        <v>2.5966786756709088E-3</v>
      </c>
    </row>
    <row r="8" spans="1:17" ht="12.75" customHeight="1">
      <c r="A8" s="69">
        <v>13</v>
      </c>
      <c r="B8" s="78" t="s">
        <v>3</v>
      </c>
      <c r="C8" s="72">
        <v>47100062.189999998</v>
      </c>
      <c r="D8" s="75">
        <v>6432538.46</v>
      </c>
      <c r="E8" s="75">
        <v>1581616.81</v>
      </c>
      <c r="F8" s="75">
        <v>2666210.0699999998</v>
      </c>
      <c r="G8" s="75">
        <v>1311290.56</v>
      </c>
      <c r="H8" s="75">
        <v>281011.08</v>
      </c>
      <c r="I8" s="76">
        <f t="shared" si="2"/>
        <v>59372729.170000002</v>
      </c>
      <c r="J8" s="72">
        <f t="shared" si="3"/>
        <v>47100062.189999998</v>
      </c>
      <c r="K8" s="72">
        <f t="shared" si="4"/>
        <v>6432538.46</v>
      </c>
      <c r="L8" s="72">
        <f t="shared" si="5"/>
        <v>1581616.81</v>
      </c>
      <c r="M8" s="72">
        <f t="shared" si="6"/>
        <v>2666210.0699999998</v>
      </c>
      <c r="N8" s="72">
        <f t="shared" si="7"/>
        <v>1311290.56</v>
      </c>
      <c r="O8" s="72">
        <f t="shared" si="8"/>
        <v>281011.08</v>
      </c>
      <c r="P8" s="74">
        <f t="shared" si="1"/>
        <v>59372729.170000002</v>
      </c>
      <c r="Q8" s="79">
        <f t="shared" si="9"/>
        <v>7.1633691625147952E-3</v>
      </c>
    </row>
    <row r="9" spans="1:17" ht="12.75" customHeight="1">
      <c r="A9" s="69">
        <v>14</v>
      </c>
      <c r="B9" s="78" t="s">
        <v>133</v>
      </c>
      <c r="C9" s="72">
        <v>59127255.659999996</v>
      </c>
      <c r="D9" s="75">
        <v>8075113.46</v>
      </c>
      <c r="E9" s="75">
        <v>1985489.12</v>
      </c>
      <c r="F9" s="75">
        <v>3347037.71</v>
      </c>
      <c r="G9" s="75">
        <v>1646133.97</v>
      </c>
      <c r="H9" s="75">
        <v>352768.4</v>
      </c>
      <c r="I9" s="76">
        <f t="shared" si="2"/>
        <v>74533798.319999993</v>
      </c>
      <c r="J9" s="72">
        <f t="shared" si="3"/>
        <v>59127255.659999996</v>
      </c>
      <c r="K9" s="72">
        <f t="shared" si="4"/>
        <v>8075113.46</v>
      </c>
      <c r="L9" s="72">
        <f t="shared" si="5"/>
        <v>1985489.12</v>
      </c>
      <c r="M9" s="72">
        <f t="shared" si="6"/>
        <v>3347037.71</v>
      </c>
      <c r="N9" s="72">
        <f t="shared" si="7"/>
        <v>1646133.97</v>
      </c>
      <c r="O9" s="72">
        <f t="shared" si="8"/>
        <v>352768.4</v>
      </c>
      <c r="P9" s="74">
        <f t="shared" si="1"/>
        <v>74533798.319999993</v>
      </c>
      <c r="Q9" s="79">
        <f t="shared" si="9"/>
        <v>8.992564766929426E-3</v>
      </c>
    </row>
    <row r="10" spans="1:17" ht="12.75" customHeight="1">
      <c r="A10" s="69">
        <v>17</v>
      </c>
      <c r="B10" s="78" t="s">
        <v>4</v>
      </c>
      <c r="C10" s="72">
        <v>405989025.50999999</v>
      </c>
      <c r="D10" s="75">
        <v>55446636.350000001</v>
      </c>
      <c r="E10" s="75">
        <v>13633083.18</v>
      </c>
      <c r="F10" s="75">
        <v>22981966.010000002</v>
      </c>
      <c r="G10" s="75">
        <v>11302948.529999999</v>
      </c>
      <c r="H10" s="75">
        <v>2422234.86</v>
      </c>
      <c r="I10" s="76">
        <f t="shared" si="2"/>
        <v>511775894.44</v>
      </c>
      <c r="J10" s="72">
        <f t="shared" si="3"/>
        <v>405989025.50999999</v>
      </c>
      <c r="K10" s="72">
        <f t="shared" si="4"/>
        <v>55446636.350000001</v>
      </c>
      <c r="L10" s="72">
        <f t="shared" si="5"/>
        <v>13633083.18</v>
      </c>
      <c r="M10" s="72">
        <f t="shared" si="6"/>
        <v>22981966.010000002</v>
      </c>
      <c r="N10" s="72">
        <f t="shared" si="7"/>
        <v>11302948.529999999</v>
      </c>
      <c r="O10" s="72">
        <f t="shared" si="8"/>
        <v>2422234.86</v>
      </c>
      <c r="P10" s="74">
        <f t="shared" si="1"/>
        <v>511775894.44</v>
      </c>
      <c r="Q10" s="79">
        <f t="shared" si="9"/>
        <v>6.1746187375909083E-2</v>
      </c>
    </row>
    <row r="11" spans="1:17" ht="12.75" customHeight="1">
      <c r="A11" s="69">
        <v>16</v>
      </c>
      <c r="B11" s="78" t="s">
        <v>5</v>
      </c>
      <c r="C11" s="72">
        <v>67494144.25</v>
      </c>
      <c r="D11" s="75">
        <v>9217794.1699999999</v>
      </c>
      <c r="E11" s="75">
        <v>2266448.66</v>
      </c>
      <c r="F11" s="75">
        <v>3820665.17</v>
      </c>
      <c r="G11" s="75">
        <v>1879072.56</v>
      </c>
      <c r="H11" s="75">
        <v>402687.41</v>
      </c>
      <c r="I11" s="76">
        <f t="shared" si="2"/>
        <v>85080812.219999999</v>
      </c>
      <c r="J11" s="72">
        <f t="shared" si="3"/>
        <v>67494144.25</v>
      </c>
      <c r="K11" s="72">
        <f t="shared" si="4"/>
        <v>9217794.1699999999</v>
      </c>
      <c r="L11" s="72">
        <f t="shared" si="5"/>
        <v>2266448.66</v>
      </c>
      <c r="M11" s="72">
        <f t="shared" si="6"/>
        <v>3820665.17</v>
      </c>
      <c r="N11" s="72">
        <f t="shared" si="7"/>
        <v>1879072.56</v>
      </c>
      <c r="O11" s="72">
        <f t="shared" si="8"/>
        <v>402687.41</v>
      </c>
      <c r="P11" s="74">
        <f t="shared" si="1"/>
        <v>85080812.219999999</v>
      </c>
      <c r="Q11" s="79">
        <f t="shared" si="9"/>
        <v>1.0265070767311334E-2</v>
      </c>
    </row>
    <row r="12" spans="1:17" ht="12.75" customHeight="1">
      <c r="A12" s="69">
        <v>18</v>
      </c>
      <c r="B12" s="78" t="s">
        <v>6</v>
      </c>
      <c r="C12" s="72">
        <v>10731926.619999999</v>
      </c>
      <c r="D12" s="75">
        <v>1465678.12</v>
      </c>
      <c r="E12" s="75">
        <v>360377.35</v>
      </c>
      <c r="F12" s="75">
        <v>607506.01</v>
      </c>
      <c r="G12" s="75">
        <v>298782.5</v>
      </c>
      <c r="H12" s="75">
        <v>64029.43</v>
      </c>
      <c r="I12" s="76">
        <f t="shared" si="2"/>
        <v>13528300.029999997</v>
      </c>
      <c r="J12" s="72">
        <f t="shared" si="3"/>
        <v>10731926.619999999</v>
      </c>
      <c r="K12" s="72">
        <f t="shared" si="4"/>
        <v>1465678.12</v>
      </c>
      <c r="L12" s="72">
        <f t="shared" si="5"/>
        <v>360377.35</v>
      </c>
      <c r="M12" s="72">
        <f t="shared" si="6"/>
        <v>607506.01</v>
      </c>
      <c r="N12" s="72">
        <f t="shared" si="7"/>
        <v>298782.5</v>
      </c>
      <c r="O12" s="72">
        <f t="shared" si="8"/>
        <v>64029.43</v>
      </c>
      <c r="P12" s="74">
        <f t="shared" si="1"/>
        <v>13528300.029999997</v>
      </c>
      <c r="Q12" s="79">
        <f t="shared" si="9"/>
        <v>1.6322006518965273E-3</v>
      </c>
    </row>
    <row r="13" spans="1:17" ht="12.75" customHeight="1">
      <c r="A13" s="69">
        <v>19</v>
      </c>
      <c r="B13" s="78" t="s">
        <v>117</v>
      </c>
      <c r="C13" s="72">
        <v>106677450.62</v>
      </c>
      <c r="D13" s="75">
        <v>14569127.34</v>
      </c>
      <c r="E13" s="75">
        <v>3582221.36</v>
      </c>
      <c r="F13" s="75">
        <v>6038728.6100000003</v>
      </c>
      <c r="G13" s="75">
        <v>2969956.47</v>
      </c>
      <c r="H13" s="75">
        <v>636465.09</v>
      </c>
      <c r="I13" s="76">
        <f t="shared" si="2"/>
        <v>134473949.49000001</v>
      </c>
      <c r="J13" s="72">
        <f t="shared" si="3"/>
        <v>106677450.62</v>
      </c>
      <c r="K13" s="72">
        <f t="shared" si="4"/>
        <v>14569127.34</v>
      </c>
      <c r="L13" s="72">
        <f t="shared" si="5"/>
        <v>3582221.36</v>
      </c>
      <c r="M13" s="72">
        <f t="shared" si="6"/>
        <v>6038728.6100000003</v>
      </c>
      <c r="N13" s="72">
        <f t="shared" si="7"/>
        <v>2969956.47</v>
      </c>
      <c r="O13" s="72">
        <f t="shared" si="8"/>
        <v>636465.09</v>
      </c>
      <c r="P13" s="74">
        <f t="shared" si="1"/>
        <v>134473949.49000001</v>
      </c>
      <c r="Q13" s="79">
        <f t="shared" si="9"/>
        <v>1.6224393865744174E-2</v>
      </c>
    </row>
    <row r="14" spans="1:17" ht="12.75" customHeight="1">
      <c r="A14" s="69">
        <v>20</v>
      </c>
      <c r="B14" s="78" t="s">
        <v>118</v>
      </c>
      <c r="C14" s="72">
        <v>18469977.07</v>
      </c>
      <c r="D14" s="75">
        <v>2522477.2999999998</v>
      </c>
      <c r="E14" s="75">
        <v>620220.54</v>
      </c>
      <c r="F14" s="75">
        <v>1045536.6</v>
      </c>
      <c r="G14" s="75">
        <v>514213.9</v>
      </c>
      <c r="H14" s="75">
        <v>110196.63</v>
      </c>
      <c r="I14" s="76">
        <f t="shared" si="2"/>
        <v>23282622.039999999</v>
      </c>
      <c r="J14" s="72">
        <f t="shared" si="3"/>
        <v>18469977.07</v>
      </c>
      <c r="K14" s="72">
        <f t="shared" si="4"/>
        <v>2522477.2999999998</v>
      </c>
      <c r="L14" s="72">
        <f t="shared" si="5"/>
        <v>620220.54</v>
      </c>
      <c r="M14" s="72">
        <f t="shared" si="6"/>
        <v>1045536.6</v>
      </c>
      <c r="N14" s="72">
        <f t="shared" si="7"/>
        <v>514213.9</v>
      </c>
      <c r="O14" s="72">
        <f t="shared" si="8"/>
        <v>110196.63</v>
      </c>
      <c r="P14" s="74">
        <f t="shared" si="1"/>
        <v>23282622.039999999</v>
      </c>
      <c r="Q14" s="79">
        <f t="shared" si="9"/>
        <v>2.8090677163632111E-3</v>
      </c>
    </row>
    <row r="15" spans="1:17" ht="12.75" customHeight="1">
      <c r="A15" s="69">
        <v>23</v>
      </c>
      <c r="B15" s="78" t="s">
        <v>119</v>
      </c>
      <c r="C15" s="72">
        <v>25750823.350000001</v>
      </c>
      <c r="D15" s="75">
        <v>3516835.3</v>
      </c>
      <c r="E15" s="75">
        <v>864710.85</v>
      </c>
      <c r="F15" s="75">
        <v>1457686.07</v>
      </c>
      <c r="G15" s="75">
        <v>716916.5</v>
      </c>
      <c r="H15" s="75">
        <v>153636.03</v>
      </c>
      <c r="I15" s="76">
        <f t="shared" si="2"/>
        <v>32460608.100000005</v>
      </c>
      <c r="J15" s="72">
        <f t="shared" si="3"/>
        <v>25750823.350000001</v>
      </c>
      <c r="K15" s="72">
        <f t="shared" si="4"/>
        <v>3516835.3</v>
      </c>
      <c r="L15" s="72">
        <f t="shared" si="5"/>
        <v>864710.85</v>
      </c>
      <c r="M15" s="72">
        <f t="shared" si="6"/>
        <v>1457686.07</v>
      </c>
      <c r="N15" s="72">
        <f t="shared" si="7"/>
        <v>716916.5</v>
      </c>
      <c r="O15" s="72">
        <f t="shared" si="8"/>
        <v>153636.03</v>
      </c>
      <c r="P15" s="74">
        <f t="shared" si="1"/>
        <v>32460608.100000005</v>
      </c>
      <c r="Q15" s="79">
        <f t="shared" si="9"/>
        <v>3.9163993690475322E-3</v>
      </c>
    </row>
    <row r="16" spans="1:17" ht="12.75" customHeight="1">
      <c r="A16" s="69">
        <v>21</v>
      </c>
      <c r="B16" s="78" t="s">
        <v>7</v>
      </c>
      <c r="C16" s="72">
        <v>54157749.329999998</v>
      </c>
      <c r="D16" s="75">
        <v>7396419.2199999997</v>
      </c>
      <c r="E16" s="75">
        <v>1818613.45</v>
      </c>
      <c r="F16" s="75">
        <v>3065727.09</v>
      </c>
      <c r="G16" s="75">
        <v>1507780.3</v>
      </c>
      <c r="H16" s="75">
        <v>323119.05</v>
      </c>
      <c r="I16" s="76">
        <f t="shared" si="2"/>
        <v>68269408.439999998</v>
      </c>
      <c r="J16" s="72">
        <f t="shared" si="3"/>
        <v>54157749.329999998</v>
      </c>
      <c r="K16" s="72">
        <f t="shared" si="4"/>
        <v>7396419.2199999997</v>
      </c>
      <c r="L16" s="72">
        <f t="shared" si="5"/>
        <v>1818613.45</v>
      </c>
      <c r="M16" s="72">
        <f t="shared" si="6"/>
        <v>3065727.09</v>
      </c>
      <c r="N16" s="72">
        <f t="shared" si="7"/>
        <v>1507780.3</v>
      </c>
      <c r="O16" s="72">
        <f t="shared" si="8"/>
        <v>323119.05</v>
      </c>
      <c r="P16" s="74">
        <f t="shared" si="1"/>
        <v>68269408.439999998</v>
      </c>
      <c r="Q16" s="79">
        <f t="shared" si="9"/>
        <v>8.2367609169855388E-3</v>
      </c>
    </row>
    <row r="17" spans="1:17" ht="12.75" customHeight="1">
      <c r="A17" s="69">
        <v>22</v>
      </c>
      <c r="B17" s="78" t="s">
        <v>120</v>
      </c>
      <c r="C17" s="72">
        <v>27763179.960000001</v>
      </c>
      <c r="D17" s="75">
        <v>3791666.39</v>
      </c>
      <c r="E17" s="75">
        <v>932285.65</v>
      </c>
      <c r="F17" s="75">
        <v>1571600.26</v>
      </c>
      <c r="G17" s="75">
        <v>772941.57</v>
      </c>
      <c r="H17" s="75">
        <v>165642.26999999999</v>
      </c>
      <c r="I17" s="76">
        <f t="shared" si="2"/>
        <v>34997316.100000001</v>
      </c>
      <c r="J17" s="72">
        <f t="shared" si="3"/>
        <v>27763179.960000001</v>
      </c>
      <c r="K17" s="72">
        <f t="shared" si="4"/>
        <v>3791666.39</v>
      </c>
      <c r="L17" s="72">
        <f t="shared" si="5"/>
        <v>932285.65</v>
      </c>
      <c r="M17" s="72">
        <f t="shared" si="6"/>
        <v>1571600.26</v>
      </c>
      <c r="N17" s="72">
        <f t="shared" si="7"/>
        <v>772941.57</v>
      </c>
      <c r="O17" s="72">
        <f t="shared" si="8"/>
        <v>165642.26999999999</v>
      </c>
      <c r="P17" s="74">
        <f t="shared" si="1"/>
        <v>34997316.100000001</v>
      </c>
      <c r="Q17" s="79">
        <f t="shared" si="9"/>
        <v>4.2224552993632E-3</v>
      </c>
    </row>
    <row r="18" spans="1:17" ht="12.75" customHeight="1">
      <c r="A18" s="69">
        <v>25</v>
      </c>
      <c r="B18" s="78" t="s">
        <v>8</v>
      </c>
      <c r="C18" s="72">
        <v>151914214.69</v>
      </c>
      <c r="D18" s="75">
        <v>20747191.890000001</v>
      </c>
      <c r="E18" s="75">
        <v>5101268.74</v>
      </c>
      <c r="F18" s="75">
        <v>8599462.3000000007</v>
      </c>
      <c r="G18" s="75">
        <v>4229371.83</v>
      </c>
      <c r="H18" s="75">
        <v>906359.25</v>
      </c>
      <c r="I18" s="76">
        <f t="shared" si="2"/>
        <v>191497868.70000002</v>
      </c>
      <c r="J18" s="72">
        <f t="shared" si="3"/>
        <v>151914214.69</v>
      </c>
      <c r="K18" s="72">
        <f t="shared" si="4"/>
        <v>20747191.890000001</v>
      </c>
      <c r="L18" s="72">
        <f t="shared" si="5"/>
        <v>5101268.74</v>
      </c>
      <c r="M18" s="72">
        <f t="shared" si="6"/>
        <v>8599462.3000000007</v>
      </c>
      <c r="N18" s="72">
        <f t="shared" si="7"/>
        <v>4229371.83</v>
      </c>
      <c r="O18" s="72">
        <f t="shared" si="8"/>
        <v>906359.25</v>
      </c>
      <c r="P18" s="74">
        <f t="shared" si="1"/>
        <v>191497868.70000002</v>
      </c>
      <c r="Q18" s="79">
        <f t="shared" si="9"/>
        <v>2.3104377152768963E-2</v>
      </c>
    </row>
    <row r="19" spans="1:17" ht="12.75" customHeight="1">
      <c r="A19" s="69">
        <v>27</v>
      </c>
      <c r="B19" s="78" t="s">
        <v>9</v>
      </c>
      <c r="C19" s="72">
        <v>19268404.920000002</v>
      </c>
      <c r="D19" s="75">
        <v>2631520</v>
      </c>
      <c r="E19" s="75">
        <v>647031.68999999994</v>
      </c>
      <c r="F19" s="75">
        <v>1090733.49</v>
      </c>
      <c r="G19" s="75">
        <v>536442.55000000005</v>
      </c>
      <c r="H19" s="75">
        <v>114960.26</v>
      </c>
      <c r="I19" s="76">
        <f t="shared" si="2"/>
        <v>24289092.910000004</v>
      </c>
      <c r="J19" s="72">
        <f t="shared" si="3"/>
        <v>19268404.920000002</v>
      </c>
      <c r="K19" s="72">
        <f t="shared" si="4"/>
        <v>2631520</v>
      </c>
      <c r="L19" s="72">
        <f t="shared" si="5"/>
        <v>647031.68999999994</v>
      </c>
      <c r="M19" s="72">
        <f t="shared" si="6"/>
        <v>1090733.49</v>
      </c>
      <c r="N19" s="72">
        <f t="shared" si="7"/>
        <v>536442.55000000005</v>
      </c>
      <c r="O19" s="72">
        <f t="shared" si="8"/>
        <v>114960.26</v>
      </c>
      <c r="P19" s="74">
        <f t="shared" si="1"/>
        <v>24289092.910000004</v>
      </c>
      <c r="Q19" s="79">
        <f t="shared" si="9"/>
        <v>2.9304992640436975E-3</v>
      </c>
    </row>
    <row r="20" spans="1:17" ht="12.75" customHeight="1">
      <c r="A20" s="69">
        <v>26</v>
      </c>
      <c r="B20" s="78" t="s">
        <v>121</v>
      </c>
      <c r="C20" s="72">
        <v>13505797.789999999</v>
      </c>
      <c r="D20" s="75">
        <v>1844510.59</v>
      </c>
      <c r="E20" s="75">
        <v>453523.75</v>
      </c>
      <c r="F20" s="75">
        <v>764527.53</v>
      </c>
      <c r="G20" s="75">
        <v>376008.53</v>
      </c>
      <c r="H20" s="75">
        <v>80579.06</v>
      </c>
      <c r="I20" s="76">
        <f t="shared" si="2"/>
        <v>17024947.249999996</v>
      </c>
      <c r="J20" s="72">
        <f t="shared" si="3"/>
        <v>13505797.789999999</v>
      </c>
      <c r="K20" s="72">
        <f t="shared" si="4"/>
        <v>1844510.59</v>
      </c>
      <c r="L20" s="72">
        <f t="shared" si="5"/>
        <v>453523.75</v>
      </c>
      <c r="M20" s="72">
        <f t="shared" si="6"/>
        <v>764527.53</v>
      </c>
      <c r="N20" s="72">
        <f t="shared" si="7"/>
        <v>376008.53</v>
      </c>
      <c r="O20" s="72">
        <f t="shared" si="8"/>
        <v>80579.06</v>
      </c>
      <c r="P20" s="74">
        <f t="shared" si="1"/>
        <v>17024947.249999996</v>
      </c>
      <c r="Q20" s="79">
        <f t="shared" si="9"/>
        <v>2.0540740476136517E-3</v>
      </c>
    </row>
    <row r="21" spans="1:17" ht="12.75" customHeight="1">
      <c r="A21" s="69">
        <v>29</v>
      </c>
      <c r="B21" s="78" t="s">
        <v>10</v>
      </c>
      <c r="C21" s="72">
        <v>117677666.58</v>
      </c>
      <c r="D21" s="75">
        <v>16071446.210000001</v>
      </c>
      <c r="E21" s="75">
        <v>3951607.84</v>
      </c>
      <c r="F21" s="75">
        <v>6661421.7699999996</v>
      </c>
      <c r="G21" s="75">
        <v>3276208.28</v>
      </c>
      <c r="H21" s="75">
        <v>702095.2</v>
      </c>
      <c r="I21" s="76">
        <f t="shared" si="2"/>
        <v>148340445.88</v>
      </c>
      <c r="J21" s="72">
        <f t="shared" si="3"/>
        <v>117677666.58</v>
      </c>
      <c r="K21" s="72">
        <f t="shared" si="4"/>
        <v>16071446.210000001</v>
      </c>
      <c r="L21" s="72">
        <f t="shared" si="5"/>
        <v>3951607.84</v>
      </c>
      <c r="M21" s="72">
        <f t="shared" si="6"/>
        <v>6661421.7699999996</v>
      </c>
      <c r="N21" s="72">
        <f t="shared" si="7"/>
        <v>3276208.28</v>
      </c>
      <c r="O21" s="72">
        <f t="shared" si="8"/>
        <v>702095.2</v>
      </c>
      <c r="P21" s="74">
        <f t="shared" si="1"/>
        <v>148340445.88</v>
      </c>
      <c r="Q21" s="79">
        <f t="shared" si="9"/>
        <v>1.789739818979736E-2</v>
      </c>
    </row>
    <row r="22" spans="1:17" ht="12.75" customHeight="1">
      <c r="A22" s="69">
        <v>30</v>
      </c>
      <c r="B22" s="78" t="s">
        <v>122</v>
      </c>
      <c r="C22" s="72">
        <v>145685695.75999999</v>
      </c>
      <c r="D22" s="75">
        <v>19896552.09</v>
      </c>
      <c r="E22" s="75">
        <v>4892115.51</v>
      </c>
      <c r="F22" s="75">
        <v>8246882.2999999998</v>
      </c>
      <c r="G22" s="75">
        <v>4055966.58</v>
      </c>
      <c r="H22" s="75">
        <v>869198.3</v>
      </c>
      <c r="I22" s="76">
        <f t="shared" si="2"/>
        <v>183646410.54000002</v>
      </c>
      <c r="J22" s="72">
        <f t="shared" si="3"/>
        <v>145685695.75999999</v>
      </c>
      <c r="K22" s="72">
        <f t="shared" si="4"/>
        <v>19896552.09</v>
      </c>
      <c r="L22" s="72">
        <f t="shared" si="5"/>
        <v>4892115.51</v>
      </c>
      <c r="M22" s="72">
        <f t="shared" si="6"/>
        <v>8246882.2999999998</v>
      </c>
      <c r="N22" s="72">
        <f t="shared" si="7"/>
        <v>4055966.58</v>
      </c>
      <c r="O22" s="72">
        <f t="shared" si="8"/>
        <v>869198.3</v>
      </c>
      <c r="P22" s="74">
        <f t="shared" si="1"/>
        <v>183646410.54000002</v>
      </c>
      <c r="Q22" s="79">
        <f t="shared" si="9"/>
        <v>2.2157092194668406E-2</v>
      </c>
    </row>
    <row r="23" spans="1:17" ht="12.75" customHeight="1">
      <c r="A23" s="69">
        <v>32</v>
      </c>
      <c r="B23" s="78" t="s">
        <v>11</v>
      </c>
      <c r="C23" s="72">
        <v>22617688.309999999</v>
      </c>
      <c r="D23" s="75">
        <v>3088937.53</v>
      </c>
      <c r="E23" s="75">
        <v>759500.4</v>
      </c>
      <c r="F23" s="75">
        <v>1280327.57</v>
      </c>
      <c r="G23" s="75">
        <v>629688.37</v>
      </c>
      <c r="H23" s="75">
        <v>134942.94</v>
      </c>
      <c r="I23" s="76">
        <f t="shared" si="2"/>
        <v>28511085.120000001</v>
      </c>
      <c r="J23" s="72">
        <f t="shared" si="3"/>
        <v>22617688.309999999</v>
      </c>
      <c r="K23" s="72">
        <f t="shared" si="4"/>
        <v>3088937.53</v>
      </c>
      <c r="L23" s="72">
        <f t="shared" si="5"/>
        <v>759500.4</v>
      </c>
      <c r="M23" s="72">
        <f t="shared" si="6"/>
        <v>1280327.57</v>
      </c>
      <c r="N23" s="72">
        <f t="shared" si="7"/>
        <v>629688.37</v>
      </c>
      <c r="O23" s="72">
        <f t="shared" si="8"/>
        <v>134942.94</v>
      </c>
      <c r="P23" s="74">
        <f t="shared" si="1"/>
        <v>28511085.120000001</v>
      </c>
      <c r="Q23" s="79">
        <f t="shared" si="9"/>
        <v>3.4398861361697184E-3</v>
      </c>
    </row>
    <row r="24" spans="1:17" ht="12.75" customHeight="1">
      <c r="A24" s="69">
        <v>33</v>
      </c>
      <c r="B24" s="78" t="s">
        <v>12</v>
      </c>
      <c r="C24" s="72">
        <v>309170413.64999998</v>
      </c>
      <c r="D24" s="75">
        <v>42223947.990000002</v>
      </c>
      <c r="E24" s="75">
        <v>10381920.939999999</v>
      </c>
      <c r="F24" s="75">
        <v>17501320.210000001</v>
      </c>
      <c r="G24" s="75">
        <v>8607467.3300000001</v>
      </c>
      <c r="H24" s="75">
        <v>1844590.14</v>
      </c>
      <c r="I24" s="76">
        <f t="shared" si="2"/>
        <v>389729660.25999993</v>
      </c>
      <c r="J24" s="72">
        <f t="shared" si="3"/>
        <v>309170413.64999998</v>
      </c>
      <c r="K24" s="72">
        <f t="shared" si="4"/>
        <v>42223947.990000002</v>
      </c>
      <c r="L24" s="72">
        <f t="shared" si="5"/>
        <v>10381920.939999999</v>
      </c>
      <c r="M24" s="72">
        <f t="shared" si="6"/>
        <v>17501320.210000001</v>
      </c>
      <c r="N24" s="72">
        <f t="shared" si="7"/>
        <v>8607467.3300000001</v>
      </c>
      <c r="O24" s="72">
        <f t="shared" si="8"/>
        <v>1844590.14</v>
      </c>
      <c r="P24" s="74">
        <f t="shared" si="1"/>
        <v>389729660.25999993</v>
      </c>
      <c r="Q24" s="79">
        <f t="shared" si="9"/>
        <v>4.7021207700091501E-2</v>
      </c>
    </row>
    <row r="25" spans="1:17" ht="12.75" customHeight="1">
      <c r="A25" s="69">
        <v>34</v>
      </c>
      <c r="B25" s="78" t="s">
        <v>123</v>
      </c>
      <c r="C25" s="72">
        <v>45647843.009999998</v>
      </c>
      <c r="D25" s="75">
        <v>6234206.3300000001</v>
      </c>
      <c r="E25" s="75">
        <v>1532851.39</v>
      </c>
      <c r="F25" s="75">
        <v>2584003.7799999998</v>
      </c>
      <c r="G25" s="75">
        <v>1270860.02</v>
      </c>
      <c r="H25" s="75">
        <v>272346.76</v>
      </c>
      <c r="I25" s="76">
        <f t="shared" si="2"/>
        <v>57542111.289999999</v>
      </c>
      <c r="J25" s="72">
        <f t="shared" si="3"/>
        <v>45647843.009999998</v>
      </c>
      <c r="K25" s="72">
        <f t="shared" si="4"/>
        <v>6234206.3300000001</v>
      </c>
      <c r="L25" s="72">
        <f t="shared" si="5"/>
        <v>1532851.39</v>
      </c>
      <c r="M25" s="72">
        <f t="shared" si="6"/>
        <v>2584003.7799999998</v>
      </c>
      <c r="N25" s="72">
        <f t="shared" si="7"/>
        <v>1270860.02</v>
      </c>
      <c r="O25" s="72">
        <f t="shared" si="8"/>
        <v>272346.76</v>
      </c>
      <c r="P25" s="74">
        <f t="shared" si="1"/>
        <v>57542111.289999999</v>
      </c>
      <c r="Q25" s="79">
        <f t="shared" si="9"/>
        <v>6.9425035925257004E-3</v>
      </c>
    </row>
    <row r="26" spans="1:17" ht="12.75" customHeight="1">
      <c r="A26" s="69">
        <v>35</v>
      </c>
      <c r="B26" s="78" t="s">
        <v>13</v>
      </c>
      <c r="C26" s="72">
        <v>7432606.0899999999</v>
      </c>
      <c r="D26" s="75">
        <v>1015084.11</v>
      </c>
      <c r="E26" s="75">
        <v>249586.39</v>
      </c>
      <c r="F26" s="75">
        <v>420740.19</v>
      </c>
      <c r="G26" s="75">
        <v>206927.67</v>
      </c>
      <c r="H26" s="75">
        <v>44344.84</v>
      </c>
      <c r="I26" s="76">
        <f t="shared" si="2"/>
        <v>9369289.2899999991</v>
      </c>
      <c r="J26" s="72">
        <f t="shared" si="3"/>
        <v>7432606.0899999999</v>
      </c>
      <c r="K26" s="72">
        <f t="shared" si="4"/>
        <v>1015084.11</v>
      </c>
      <c r="L26" s="72">
        <f t="shared" si="5"/>
        <v>249586.39</v>
      </c>
      <c r="M26" s="72">
        <f t="shared" si="6"/>
        <v>420740.19</v>
      </c>
      <c r="N26" s="72">
        <f t="shared" si="7"/>
        <v>206927.67</v>
      </c>
      <c r="O26" s="72">
        <f t="shared" si="8"/>
        <v>44344.84</v>
      </c>
      <c r="P26" s="74">
        <f t="shared" si="1"/>
        <v>9369289.2899999991</v>
      </c>
      <c r="Q26" s="79">
        <f t="shared" si="9"/>
        <v>1.1304125465160277E-3</v>
      </c>
    </row>
    <row r="27" spans="1:17" ht="12.75" customHeight="1">
      <c r="A27" s="69">
        <v>61</v>
      </c>
      <c r="B27" s="78" t="s">
        <v>14</v>
      </c>
      <c r="C27" s="72">
        <v>33953602.020000003</v>
      </c>
      <c r="D27" s="75">
        <v>4637103.24</v>
      </c>
      <c r="E27" s="75">
        <v>1140159.5900000001</v>
      </c>
      <c r="F27" s="75">
        <v>1922023.7</v>
      </c>
      <c r="G27" s="75">
        <v>945286.18</v>
      </c>
      <c r="H27" s="75">
        <v>202575.92</v>
      </c>
      <c r="I27" s="76">
        <f t="shared" si="2"/>
        <v>42800750.650000013</v>
      </c>
      <c r="J27" s="72">
        <f t="shared" si="3"/>
        <v>33953602.020000003</v>
      </c>
      <c r="K27" s="72">
        <f t="shared" si="4"/>
        <v>4637103.24</v>
      </c>
      <c r="L27" s="72">
        <f t="shared" si="5"/>
        <v>1140159.5900000001</v>
      </c>
      <c r="M27" s="72">
        <f t="shared" si="6"/>
        <v>1922023.7</v>
      </c>
      <c r="N27" s="72">
        <f t="shared" si="7"/>
        <v>945286.18</v>
      </c>
      <c r="O27" s="72">
        <f t="shared" si="8"/>
        <v>202575.92</v>
      </c>
      <c r="P27" s="74">
        <f t="shared" si="1"/>
        <v>42800750.650000013</v>
      </c>
      <c r="Q27" s="79">
        <f t="shared" si="9"/>
        <v>5.1639461689696681E-3</v>
      </c>
    </row>
    <row r="28" spans="1:17" ht="12.75" customHeight="1">
      <c r="A28" s="69">
        <v>36</v>
      </c>
      <c r="B28" s="78" t="s">
        <v>15</v>
      </c>
      <c r="C28" s="72">
        <v>33767565.25</v>
      </c>
      <c r="D28" s="75">
        <v>4611695.87</v>
      </c>
      <c r="E28" s="75">
        <v>1133912.49</v>
      </c>
      <c r="F28" s="75">
        <v>1911492.65</v>
      </c>
      <c r="G28" s="75">
        <v>940106.82</v>
      </c>
      <c r="H28" s="75">
        <v>201465.97</v>
      </c>
      <c r="I28" s="76">
        <f t="shared" si="2"/>
        <v>42566239.049999997</v>
      </c>
      <c r="J28" s="72">
        <f t="shared" si="3"/>
        <v>33767565.25</v>
      </c>
      <c r="K28" s="72">
        <f t="shared" si="4"/>
        <v>4611695.87</v>
      </c>
      <c r="L28" s="72">
        <f t="shared" si="5"/>
        <v>1133912.49</v>
      </c>
      <c r="M28" s="72">
        <f t="shared" si="6"/>
        <v>1911492.65</v>
      </c>
      <c r="N28" s="72">
        <f t="shared" si="7"/>
        <v>940106.82</v>
      </c>
      <c r="O28" s="72">
        <f t="shared" si="8"/>
        <v>201465.97</v>
      </c>
      <c r="P28" s="74">
        <f t="shared" si="1"/>
        <v>42566239.049999997</v>
      </c>
      <c r="Q28" s="79">
        <f t="shared" si="9"/>
        <v>5.1356521493553407E-3</v>
      </c>
    </row>
    <row r="29" spans="1:17" ht="12.75" customHeight="1">
      <c r="A29" s="69">
        <v>28</v>
      </c>
      <c r="B29" s="78" t="s">
        <v>16</v>
      </c>
      <c r="C29" s="72">
        <v>528778679.38</v>
      </c>
      <c r="D29" s="75">
        <v>72216235.670000002</v>
      </c>
      <c r="E29" s="75">
        <v>17756351.190000001</v>
      </c>
      <c r="F29" s="75">
        <v>29932763.879999999</v>
      </c>
      <c r="G29" s="75">
        <v>14721477.23</v>
      </c>
      <c r="H29" s="75">
        <v>3154829.49</v>
      </c>
      <c r="I29" s="76">
        <f t="shared" si="2"/>
        <v>666560336.84000003</v>
      </c>
      <c r="J29" s="72">
        <f t="shared" si="3"/>
        <v>528778679.38</v>
      </c>
      <c r="K29" s="72">
        <f t="shared" si="4"/>
        <v>72216235.670000002</v>
      </c>
      <c r="L29" s="72">
        <f t="shared" si="5"/>
        <v>17756351.190000001</v>
      </c>
      <c r="M29" s="72">
        <f t="shared" si="6"/>
        <v>29932763.879999999</v>
      </c>
      <c r="N29" s="72">
        <f t="shared" si="7"/>
        <v>14721477.23</v>
      </c>
      <c r="O29" s="72">
        <f t="shared" si="8"/>
        <v>3154829.49</v>
      </c>
      <c r="P29" s="74">
        <f t="shared" si="1"/>
        <v>666560336.84000003</v>
      </c>
      <c r="Q29" s="79">
        <f t="shared" si="9"/>
        <v>8.0421059106168938E-2</v>
      </c>
    </row>
    <row r="30" spans="1:17" ht="12.75" customHeight="1">
      <c r="A30" s="69">
        <v>37</v>
      </c>
      <c r="B30" s="78" t="s">
        <v>124</v>
      </c>
      <c r="C30" s="72">
        <v>13615833.84</v>
      </c>
      <c r="D30" s="75">
        <v>1859538.41</v>
      </c>
      <c r="E30" s="75">
        <v>457218.75</v>
      </c>
      <c r="F30" s="75">
        <v>770756.38</v>
      </c>
      <c r="G30" s="75">
        <v>379071.99</v>
      </c>
      <c r="H30" s="75">
        <v>81235.56</v>
      </c>
      <c r="I30" s="76">
        <f t="shared" si="2"/>
        <v>17163654.93</v>
      </c>
      <c r="J30" s="72">
        <f t="shared" si="3"/>
        <v>13615833.84</v>
      </c>
      <c r="K30" s="72">
        <f t="shared" si="4"/>
        <v>1859538.41</v>
      </c>
      <c r="L30" s="72">
        <f t="shared" si="5"/>
        <v>457218.75</v>
      </c>
      <c r="M30" s="72">
        <f t="shared" si="6"/>
        <v>770756.38</v>
      </c>
      <c r="N30" s="72">
        <f t="shared" si="7"/>
        <v>379071.99</v>
      </c>
      <c r="O30" s="72">
        <f t="shared" si="8"/>
        <v>81235.56</v>
      </c>
      <c r="P30" s="74">
        <f t="shared" si="1"/>
        <v>17163654.93</v>
      </c>
      <c r="Q30" s="79">
        <f t="shared" si="9"/>
        <v>2.0708092445871819E-3</v>
      </c>
    </row>
    <row r="31" spans="1:17" ht="12.75" customHeight="1">
      <c r="A31" s="69">
        <v>39</v>
      </c>
      <c r="B31" s="78" t="s">
        <v>17</v>
      </c>
      <c r="C31" s="72">
        <v>23437552.559999999</v>
      </c>
      <c r="D31" s="75">
        <v>3200907.84</v>
      </c>
      <c r="E31" s="75">
        <v>787031.38</v>
      </c>
      <c r="F31" s="75">
        <v>1326737.9199999999</v>
      </c>
      <c r="G31" s="75">
        <v>652513.81999999995</v>
      </c>
      <c r="H31" s="75">
        <v>139834.46</v>
      </c>
      <c r="I31" s="76">
        <f t="shared" si="2"/>
        <v>29544577.979999997</v>
      </c>
      <c r="J31" s="72">
        <f t="shared" si="3"/>
        <v>23437552.559999999</v>
      </c>
      <c r="K31" s="72">
        <f t="shared" si="4"/>
        <v>3200907.84</v>
      </c>
      <c r="L31" s="72">
        <f t="shared" si="5"/>
        <v>787031.38</v>
      </c>
      <c r="M31" s="72">
        <f t="shared" si="6"/>
        <v>1326737.9199999999</v>
      </c>
      <c r="N31" s="72">
        <f t="shared" si="7"/>
        <v>652513.81999999995</v>
      </c>
      <c r="O31" s="72">
        <f t="shared" si="8"/>
        <v>139834.46</v>
      </c>
      <c r="P31" s="74">
        <f t="shared" si="1"/>
        <v>29544577.979999997</v>
      </c>
      <c r="Q31" s="79">
        <f t="shared" si="9"/>
        <v>3.5645779094214684E-3</v>
      </c>
    </row>
    <row r="32" spans="1:17" ht="12.75" customHeight="1">
      <c r="A32" s="69">
        <v>38</v>
      </c>
      <c r="B32" s="78" t="s">
        <v>18</v>
      </c>
      <c r="C32" s="72">
        <v>13451370.800000001</v>
      </c>
      <c r="D32" s="75">
        <v>1837077.4</v>
      </c>
      <c r="E32" s="75">
        <v>451696.09</v>
      </c>
      <c r="F32" s="75">
        <v>761446.56</v>
      </c>
      <c r="G32" s="75">
        <v>374493.26</v>
      </c>
      <c r="H32" s="75">
        <v>80254.34</v>
      </c>
      <c r="I32" s="76">
        <f t="shared" si="2"/>
        <v>16956338.450000003</v>
      </c>
      <c r="J32" s="72">
        <f t="shared" si="3"/>
        <v>13451370.800000001</v>
      </c>
      <c r="K32" s="72">
        <f t="shared" si="4"/>
        <v>1837077.4</v>
      </c>
      <c r="L32" s="72">
        <f t="shared" si="5"/>
        <v>451696.09</v>
      </c>
      <c r="M32" s="72">
        <f t="shared" si="6"/>
        <v>761446.56</v>
      </c>
      <c r="N32" s="72">
        <f t="shared" si="7"/>
        <v>374493.26</v>
      </c>
      <c r="O32" s="72">
        <f t="shared" si="8"/>
        <v>80254.34</v>
      </c>
      <c r="P32" s="74">
        <f t="shared" si="1"/>
        <v>16956338.450000003</v>
      </c>
      <c r="Q32" s="79">
        <f t="shared" si="9"/>
        <v>2.0457963388226361E-3</v>
      </c>
    </row>
    <row r="33" spans="1:17" ht="12.75" customHeight="1">
      <c r="A33" s="69">
        <v>40</v>
      </c>
      <c r="B33" s="78" t="s">
        <v>19</v>
      </c>
      <c r="C33" s="72">
        <v>18763177.170000002</v>
      </c>
      <c r="D33" s="75">
        <v>2562520.16</v>
      </c>
      <c r="E33" s="75">
        <v>630066.18000000005</v>
      </c>
      <c r="F33" s="75">
        <v>1062133.8799999999</v>
      </c>
      <c r="G33" s="75">
        <v>522376.75</v>
      </c>
      <c r="H33" s="75">
        <v>111945.94</v>
      </c>
      <c r="I33" s="76">
        <f t="shared" si="2"/>
        <v>23652220.080000002</v>
      </c>
      <c r="J33" s="72">
        <f t="shared" si="3"/>
        <v>18763177.170000002</v>
      </c>
      <c r="K33" s="72">
        <f t="shared" si="4"/>
        <v>2562520.16</v>
      </c>
      <c r="L33" s="72">
        <f t="shared" si="5"/>
        <v>630066.18000000005</v>
      </c>
      <c r="M33" s="72">
        <f t="shared" si="6"/>
        <v>1062133.8799999999</v>
      </c>
      <c r="N33" s="72">
        <f t="shared" si="7"/>
        <v>522376.75</v>
      </c>
      <c r="O33" s="72">
        <f t="shared" si="8"/>
        <v>111945.94</v>
      </c>
      <c r="P33" s="74">
        <f t="shared" si="1"/>
        <v>23652220.080000002</v>
      </c>
      <c r="Q33" s="79">
        <f t="shared" si="9"/>
        <v>2.8536600273328019E-3</v>
      </c>
    </row>
    <row r="34" spans="1:17" ht="12.75" customHeight="1">
      <c r="A34" s="69">
        <v>41</v>
      </c>
      <c r="B34" s="78" t="s">
        <v>20</v>
      </c>
      <c r="C34" s="72">
        <v>17881547.870000001</v>
      </c>
      <c r="D34" s="75">
        <v>2442114.4900000002</v>
      </c>
      <c r="E34" s="75">
        <v>600461.13</v>
      </c>
      <c r="F34" s="75">
        <v>1012227.18</v>
      </c>
      <c r="G34" s="75">
        <v>497831.72</v>
      </c>
      <c r="H34" s="75">
        <v>106685.91</v>
      </c>
      <c r="I34" s="76">
        <f t="shared" si="2"/>
        <v>22540868.299999997</v>
      </c>
      <c r="J34" s="72">
        <f t="shared" si="3"/>
        <v>17881547.870000001</v>
      </c>
      <c r="K34" s="72">
        <f t="shared" si="4"/>
        <v>2442114.4900000002</v>
      </c>
      <c r="L34" s="72">
        <f t="shared" si="5"/>
        <v>600461.13</v>
      </c>
      <c r="M34" s="72">
        <f t="shared" si="6"/>
        <v>1012227.18</v>
      </c>
      <c r="N34" s="72">
        <f t="shared" si="7"/>
        <v>497831.72</v>
      </c>
      <c r="O34" s="72">
        <f t="shared" si="8"/>
        <v>106685.91</v>
      </c>
      <c r="P34" s="74">
        <f t="shared" si="1"/>
        <v>22540868.299999997</v>
      </c>
      <c r="Q34" s="79">
        <f t="shared" si="9"/>
        <v>2.7195745106174856E-3</v>
      </c>
    </row>
    <row r="35" spans="1:17" ht="12.75" customHeight="1">
      <c r="A35" s="69">
        <v>42</v>
      </c>
      <c r="B35" s="78" t="s">
        <v>125</v>
      </c>
      <c r="C35" s="72">
        <v>165832851.94</v>
      </c>
      <c r="D35" s="75">
        <v>22648084.699999999</v>
      </c>
      <c r="E35" s="75">
        <v>5568655.6100000003</v>
      </c>
      <c r="F35" s="75">
        <v>9387359.5800000001</v>
      </c>
      <c r="G35" s="75">
        <v>4616874.03</v>
      </c>
      <c r="H35" s="75">
        <v>989401.41</v>
      </c>
      <c r="I35" s="76">
        <f t="shared" si="2"/>
        <v>209043227.27000001</v>
      </c>
      <c r="J35" s="72">
        <f t="shared" si="3"/>
        <v>165832851.94</v>
      </c>
      <c r="K35" s="72">
        <f t="shared" si="4"/>
        <v>22648084.699999999</v>
      </c>
      <c r="L35" s="72">
        <f t="shared" si="5"/>
        <v>5568655.6100000003</v>
      </c>
      <c r="M35" s="72">
        <f t="shared" si="6"/>
        <v>9387359.5800000001</v>
      </c>
      <c r="N35" s="72">
        <f t="shared" si="7"/>
        <v>4616874.03</v>
      </c>
      <c r="O35" s="72">
        <f t="shared" si="8"/>
        <v>989401.41</v>
      </c>
      <c r="P35" s="74">
        <f t="shared" si="1"/>
        <v>209043227.27000001</v>
      </c>
      <c r="Q35" s="79">
        <f t="shared" si="9"/>
        <v>2.5221239259035563E-2</v>
      </c>
    </row>
    <row r="36" spans="1:17" ht="12.75" customHeight="1">
      <c r="A36" s="69">
        <v>43</v>
      </c>
      <c r="B36" s="78" t="s">
        <v>21</v>
      </c>
      <c r="C36" s="72">
        <v>31970901.600000001</v>
      </c>
      <c r="D36" s="75">
        <v>4366322.3499999996</v>
      </c>
      <c r="E36" s="75">
        <v>1073580.6499999999</v>
      </c>
      <c r="F36" s="75">
        <v>1809788.26</v>
      </c>
      <c r="G36" s="75">
        <v>890086.76</v>
      </c>
      <c r="H36" s="75">
        <v>190746.62</v>
      </c>
      <c r="I36" s="76">
        <f t="shared" si="2"/>
        <v>40301426.239999995</v>
      </c>
      <c r="J36" s="72">
        <f t="shared" si="3"/>
        <v>31970901.600000001</v>
      </c>
      <c r="K36" s="72">
        <f t="shared" si="4"/>
        <v>4366322.3499999996</v>
      </c>
      <c r="L36" s="72">
        <f t="shared" si="5"/>
        <v>1073580.6499999999</v>
      </c>
      <c r="M36" s="72">
        <f t="shared" si="6"/>
        <v>1809788.26</v>
      </c>
      <c r="N36" s="72">
        <f t="shared" si="7"/>
        <v>890086.76</v>
      </c>
      <c r="O36" s="72">
        <f t="shared" si="8"/>
        <v>190746.62</v>
      </c>
      <c r="P36" s="74">
        <f t="shared" si="1"/>
        <v>40301426.239999995</v>
      </c>
      <c r="Q36" s="79">
        <f t="shared" si="9"/>
        <v>4.862400599884375E-3</v>
      </c>
    </row>
    <row r="37" spans="1:17" ht="12.75" customHeight="1">
      <c r="A37" s="69">
        <v>44</v>
      </c>
      <c r="B37" s="78" t="s">
        <v>22</v>
      </c>
      <c r="C37" s="72">
        <v>117218348.14</v>
      </c>
      <c r="D37" s="75">
        <v>16008716.279999999</v>
      </c>
      <c r="E37" s="75">
        <v>3936183.96</v>
      </c>
      <c r="F37" s="75">
        <v>6635420.9699999997</v>
      </c>
      <c r="G37" s="75">
        <v>3263420.62</v>
      </c>
      <c r="H37" s="75">
        <v>699354.79</v>
      </c>
      <c r="I37" s="76">
        <f t="shared" si="2"/>
        <v>147761444.75999999</v>
      </c>
      <c r="J37" s="72">
        <f t="shared" si="3"/>
        <v>117218348.14</v>
      </c>
      <c r="K37" s="72">
        <f t="shared" si="4"/>
        <v>16008716.279999999</v>
      </c>
      <c r="L37" s="72">
        <f t="shared" si="5"/>
        <v>3936183.96</v>
      </c>
      <c r="M37" s="72">
        <f t="shared" si="6"/>
        <v>6635420.9699999997</v>
      </c>
      <c r="N37" s="72">
        <f t="shared" si="7"/>
        <v>3263420.62</v>
      </c>
      <c r="O37" s="72">
        <f t="shared" si="8"/>
        <v>699354.79</v>
      </c>
      <c r="P37" s="74">
        <f t="shared" ref="P37:P55" si="10">SUM(J37:O37)</f>
        <v>147761444.75999999</v>
      </c>
      <c r="Q37" s="79">
        <f t="shared" si="9"/>
        <v>1.7827541223037521E-2</v>
      </c>
    </row>
    <row r="38" spans="1:17" ht="12.75" customHeight="1">
      <c r="A38" s="69">
        <v>46</v>
      </c>
      <c r="B38" s="78" t="s">
        <v>126</v>
      </c>
      <c r="C38" s="72">
        <v>25010439.550000001</v>
      </c>
      <c r="D38" s="75">
        <v>3415719.78</v>
      </c>
      <c r="E38" s="75">
        <v>839848.82</v>
      </c>
      <c r="F38" s="75">
        <v>1415774.9</v>
      </c>
      <c r="G38" s="75">
        <v>696303.82</v>
      </c>
      <c r="H38" s="75">
        <v>149218.71</v>
      </c>
      <c r="I38" s="76">
        <f t="shared" si="2"/>
        <v>31527305.580000002</v>
      </c>
      <c r="J38" s="72">
        <f t="shared" si="3"/>
        <v>25010439.550000001</v>
      </c>
      <c r="K38" s="72">
        <f t="shared" si="4"/>
        <v>3415719.78</v>
      </c>
      <c r="L38" s="72">
        <f t="shared" si="5"/>
        <v>839848.82</v>
      </c>
      <c r="M38" s="72">
        <f t="shared" si="6"/>
        <v>1415774.9</v>
      </c>
      <c r="N38" s="72">
        <f t="shared" si="7"/>
        <v>696303.82</v>
      </c>
      <c r="O38" s="72">
        <f t="shared" si="8"/>
        <v>149218.71</v>
      </c>
      <c r="P38" s="74">
        <f t="shared" si="10"/>
        <v>31527305.580000002</v>
      </c>
      <c r="Q38" s="79">
        <f t="shared" si="9"/>
        <v>3.8037956436583432E-3</v>
      </c>
    </row>
    <row r="39" spans="1:17" ht="12.75" customHeight="1">
      <c r="A39" s="69">
        <v>49</v>
      </c>
      <c r="B39" s="78" t="s">
        <v>23</v>
      </c>
      <c r="C39" s="72">
        <v>24040117.52</v>
      </c>
      <c r="D39" s="75">
        <v>3283201.2</v>
      </c>
      <c r="E39" s="75">
        <v>807265.47</v>
      </c>
      <c r="F39" s="75">
        <v>1360847.53</v>
      </c>
      <c r="G39" s="75">
        <v>669289.55000000005</v>
      </c>
      <c r="H39" s="75">
        <v>143429.51999999999</v>
      </c>
      <c r="I39" s="76">
        <f t="shared" si="2"/>
        <v>30304150.789999999</v>
      </c>
      <c r="J39" s="72">
        <f t="shared" si="3"/>
        <v>24040117.52</v>
      </c>
      <c r="K39" s="72">
        <f t="shared" si="4"/>
        <v>3283201.2</v>
      </c>
      <c r="L39" s="72">
        <f t="shared" si="5"/>
        <v>807265.47</v>
      </c>
      <c r="M39" s="72">
        <f t="shared" si="6"/>
        <v>1360847.53</v>
      </c>
      <c r="N39" s="72">
        <f t="shared" si="7"/>
        <v>669289.55000000005</v>
      </c>
      <c r="O39" s="72">
        <f t="shared" si="8"/>
        <v>143429.51999999999</v>
      </c>
      <c r="P39" s="74">
        <f t="shared" si="10"/>
        <v>30304150.789999999</v>
      </c>
      <c r="Q39" s="79">
        <f t="shared" si="9"/>
        <v>3.6562210007851717E-3</v>
      </c>
    </row>
    <row r="40" spans="1:17" ht="12.75" customHeight="1">
      <c r="A40" s="69">
        <v>48</v>
      </c>
      <c r="B40" s="78" t="s">
        <v>24</v>
      </c>
      <c r="C40" s="72">
        <v>25869692.379999999</v>
      </c>
      <c r="D40" s="75">
        <v>3533069.46</v>
      </c>
      <c r="E40" s="75">
        <v>868702.47</v>
      </c>
      <c r="F40" s="75">
        <v>1464414.93</v>
      </c>
      <c r="G40" s="75">
        <v>720225.88</v>
      </c>
      <c r="H40" s="75">
        <v>154345.23000000001</v>
      </c>
      <c r="I40" s="76">
        <f t="shared" si="2"/>
        <v>32610450.349999998</v>
      </c>
      <c r="J40" s="72">
        <f t="shared" si="3"/>
        <v>25869692.379999999</v>
      </c>
      <c r="K40" s="72">
        <f t="shared" si="4"/>
        <v>3533069.46</v>
      </c>
      <c r="L40" s="72">
        <f t="shared" si="5"/>
        <v>868702.47</v>
      </c>
      <c r="M40" s="72">
        <f t="shared" si="6"/>
        <v>1464414.93</v>
      </c>
      <c r="N40" s="72">
        <f t="shared" si="7"/>
        <v>720225.88</v>
      </c>
      <c r="O40" s="72">
        <f t="shared" si="8"/>
        <v>154345.23000000001</v>
      </c>
      <c r="P40" s="74">
        <f t="shared" si="10"/>
        <v>32610450.349999998</v>
      </c>
      <c r="Q40" s="79">
        <f t="shared" si="9"/>
        <v>3.9344779611536563E-3</v>
      </c>
    </row>
    <row r="41" spans="1:17" ht="12.75" customHeight="1">
      <c r="A41" s="69">
        <v>47</v>
      </c>
      <c r="B41" s="78" t="s">
        <v>25</v>
      </c>
      <c r="C41" s="72">
        <v>35554214.07</v>
      </c>
      <c r="D41" s="75">
        <v>4855701.6399999997</v>
      </c>
      <c r="E41" s="75">
        <v>1193908.03</v>
      </c>
      <c r="F41" s="75">
        <v>2012630.12</v>
      </c>
      <c r="G41" s="75">
        <v>989848.07</v>
      </c>
      <c r="H41" s="75">
        <v>212125.58</v>
      </c>
      <c r="I41" s="76">
        <f t="shared" si="2"/>
        <v>44818427.509999998</v>
      </c>
      <c r="J41" s="72">
        <f t="shared" si="3"/>
        <v>35554214.07</v>
      </c>
      <c r="K41" s="72">
        <f t="shared" si="4"/>
        <v>4855701.6399999997</v>
      </c>
      <c r="L41" s="72">
        <f t="shared" si="5"/>
        <v>1193908.03</v>
      </c>
      <c r="M41" s="72">
        <f t="shared" si="6"/>
        <v>2012630.12</v>
      </c>
      <c r="N41" s="72">
        <f t="shared" si="7"/>
        <v>989848.07</v>
      </c>
      <c r="O41" s="72">
        <f t="shared" si="8"/>
        <v>212125.58</v>
      </c>
      <c r="P41" s="74">
        <f t="shared" si="10"/>
        <v>44818427.509999998</v>
      </c>
      <c r="Q41" s="79">
        <f t="shared" si="9"/>
        <v>5.4073805604974642E-3</v>
      </c>
    </row>
    <row r="42" spans="1:17" ht="12.75" customHeight="1">
      <c r="A42" s="69">
        <v>45</v>
      </c>
      <c r="B42" s="78" t="s">
        <v>26</v>
      </c>
      <c r="C42" s="72">
        <v>83413469.420000002</v>
      </c>
      <c r="D42" s="75">
        <v>11391924.449999999</v>
      </c>
      <c r="E42" s="75">
        <v>2801018.49</v>
      </c>
      <c r="F42" s="75">
        <v>4721816.1100000003</v>
      </c>
      <c r="G42" s="75">
        <v>2322274.9700000002</v>
      </c>
      <c r="H42" s="75">
        <v>497666.2</v>
      </c>
      <c r="I42" s="76">
        <f t="shared" si="2"/>
        <v>105148169.64</v>
      </c>
      <c r="J42" s="72">
        <f t="shared" si="3"/>
        <v>83413469.420000002</v>
      </c>
      <c r="K42" s="72">
        <f t="shared" si="4"/>
        <v>11391924.449999999</v>
      </c>
      <c r="L42" s="72">
        <f t="shared" si="5"/>
        <v>2801018.49</v>
      </c>
      <c r="M42" s="72">
        <f t="shared" si="6"/>
        <v>4721816.1100000003</v>
      </c>
      <c r="N42" s="72">
        <f t="shared" si="7"/>
        <v>2322274.9700000002</v>
      </c>
      <c r="O42" s="72">
        <f t="shared" si="8"/>
        <v>497666.2</v>
      </c>
      <c r="P42" s="74">
        <f t="shared" si="10"/>
        <v>105148169.64</v>
      </c>
      <c r="Q42" s="79">
        <f t="shared" si="9"/>
        <v>1.2686214132710557E-2</v>
      </c>
    </row>
    <row r="43" spans="1:17" ht="12.75" customHeight="1">
      <c r="A43" s="69">
        <v>70</v>
      </c>
      <c r="B43" s="78" t="s">
        <v>27</v>
      </c>
      <c r="C43" s="72">
        <v>1726259320.8499999</v>
      </c>
      <c r="D43" s="75">
        <v>235758276.21000001</v>
      </c>
      <c r="E43" s="75">
        <v>57967667.659999996</v>
      </c>
      <c r="F43" s="75">
        <v>97718978.969999999</v>
      </c>
      <c r="G43" s="75">
        <v>48059969.659999996</v>
      </c>
      <c r="H43" s="75">
        <v>10299306.74</v>
      </c>
      <c r="I43" s="76">
        <f t="shared" si="2"/>
        <v>2176063520.0899997</v>
      </c>
      <c r="J43" s="72">
        <f t="shared" si="3"/>
        <v>1726259320.8499999</v>
      </c>
      <c r="K43" s="72">
        <f t="shared" si="4"/>
        <v>235758276.21000001</v>
      </c>
      <c r="L43" s="72">
        <f t="shared" si="5"/>
        <v>57967667.659999996</v>
      </c>
      <c r="M43" s="72">
        <f t="shared" si="6"/>
        <v>97718978.969999999</v>
      </c>
      <c r="N43" s="72">
        <f t="shared" si="7"/>
        <v>48059969.659999996</v>
      </c>
      <c r="O43" s="72">
        <f t="shared" si="8"/>
        <v>10299306.74</v>
      </c>
      <c r="P43" s="74">
        <f t="shared" si="10"/>
        <v>2176063520.0899997</v>
      </c>
      <c r="Q43" s="79">
        <f t="shared" si="9"/>
        <v>0.26254387381879718</v>
      </c>
    </row>
    <row r="44" spans="1:17" ht="12.75" customHeight="1">
      <c r="A44" s="69">
        <v>50</v>
      </c>
      <c r="B44" s="78" t="s">
        <v>127</v>
      </c>
      <c r="C44" s="72">
        <v>9169501.2799999993</v>
      </c>
      <c r="D44" s="75">
        <v>1252294.94</v>
      </c>
      <c r="E44" s="75">
        <v>307911.21000000002</v>
      </c>
      <c r="F44" s="75">
        <v>519061.24</v>
      </c>
      <c r="G44" s="75">
        <v>255283.75</v>
      </c>
      <c r="H44" s="75">
        <v>54707.6</v>
      </c>
      <c r="I44" s="76">
        <f t="shared" si="2"/>
        <v>11558760.02</v>
      </c>
      <c r="J44" s="72">
        <f t="shared" si="3"/>
        <v>9169501.2799999993</v>
      </c>
      <c r="K44" s="72">
        <f t="shared" si="4"/>
        <v>1252294.94</v>
      </c>
      <c r="L44" s="72">
        <f t="shared" si="5"/>
        <v>307911.21000000002</v>
      </c>
      <c r="M44" s="72">
        <f t="shared" si="6"/>
        <v>519061.24</v>
      </c>
      <c r="N44" s="72">
        <f t="shared" si="7"/>
        <v>255283.75</v>
      </c>
      <c r="O44" s="72">
        <f t="shared" si="8"/>
        <v>54707.6</v>
      </c>
      <c r="P44" s="74">
        <f t="shared" si="10"/>
        <v>11558760.02</v>
      </c>
      <c r="Q44" s="79">
        <f t="shared" si="9"/>
        <v>1.3945740113630166E-3</v>
      </c>
    </row>
    <row r="45" spans="1:17" ht="12.75" customHeight="1">
      <c r="A45" s="69">
        <v>51</v>
      </c>
      <c r="B45" s="78" t="s">
        <v>128</v>
      </c>
      <c r="C45" s="72">
        <v>38260390.350000001</v>
      </c>
      <c r="D45" s="75">
        <v>5225288.9000000004</v>
      </c>
      <c r="E45" s="75">
        <v>1284781.24</v>
      </c>
      <c r="F45" s="75">
        <v>2165819.6</v>
      </c>
      <c r="G45" s="75">
        <v>1065189.44</v>
      </c>
      <c r="H45" s="75">
        <v>228271.32</v>
      </c>
      <c r="I45" s="76">
        <f t="shared" si="2"/>
        <v>48229740.850000001</v>
      </c>
      <c r="J45" s="72">
        <f t="shared" si="3"/>
        <v>38260390.350000001</v>
      </c>
      <c r="K45" s="72">
        <f t="shared" si="4"/>
        <v>5225288.9000000004</v>
      </c>
      <c r="L45" s="72">
        <f t="shared" si="5"/>
        <v>1284781.24</v>
      </c>
      <c r="M45" s="72">
        <f t="shared" si="6"/>
        <v>2165819.6</v>
      </c>
      <c r="N45" s="72">
        <f t="shared" si="7"/>
        <v>1065189.44</v>
      </c>
      <c r="O45" s="72">
        <f t="shared" si="8"/>
        <v>228271.32</v>
      </c>
      <c r="P45" s="74">
        <f t="shared" si="10"/>
        <v>48229740.850000001</v>
      </c>
      <c r="Q45" s="79">
        <f t="shared" si="9"/>
        <v>5.8189583526091111E-3</v>
      </c>
    </row>
    <row r="46" spans="1:17" ht="12.75" customHeight="1">
      <c r="A46" s="69">
        <v>52</v>
      </c>
      <c r="B46" s="78" t="s">
        <v>129</v>
      </c>
      <c r="C46" s="72">
        <v>18909383.170000002</v>
      </c>
      <c r="D46" s="75">
        <v>2582487.77</v>
      </c>
      <c r="E46" s="75">
        <v>634975.77</v>
      </c>
      <c r="F46" s="75">
        <v>1070410.22</v>
      </c>
      <c r="G46" s="75">
        <v>526447.19999999995</v>
      </c>
      <c r="H46" s="75">
        <v>112818.24000000001</v>
      </c>
      <c r="I46" s="76">
        <f t="shared" si="2"/>
        <v>23836522.369999997</v>
      </c>
      <c r="J46" s="72">
        <f t="shared" si="3"/>
        <v>18909383.170000002</v>
      </c>
      <c r="K46" s="72">
        <f t="shared" si="4"/>
        <v>2582487.77</v>
      </c>
      <c r="L46" s="72">
        <f t="shared" si="5"/>
        <v>634975.77</v>
      </c>
      <c r="M46" s="72">
        <f t="shared" si="6"/>
        <v>1070410.22</v>
      </c>
      <c r="N46" s="72">
        <f t="shared" si="7"/>
        <v>526447.19999999995</v>
      </c>
      <c r="O46" s="72">
        <f t="shared" si="8"/>
        <v>112818.24000000001</v>
      </c>
      <c r="P46" s="74">
        <f t="shared" si="10"/>
        <v>23836522.369999997</v>
      </c>
      <c r="Q46" s="79">
        <f t="shared" si="9"/>
        <v>2.8758962519299003E-3</v>
      </c>
    </row>
    <row r="47" spans="1:17" ht="12.75" customHeight="1">
      <c r="A47" s="69">
        <v>53</v>
      </c>
      <c r="B47" s="78" t="s">
        <v>28</v>
      </c>
      <c r="C47" s="72">
        <v>21189369.57</v>
      </c>
      <c r="D47" s="75">
        <v>2893869.53</v>
      </c>
      <c r="E47" s="75">
        <v>711537.55</v>
      </c>
      <c r="F47" s="75">
        <v>1199474.22</v>
      </c>
      <c r="G47" s="75">
        <v>589923.22</v>
      </c>
      <c r="H47" s="75">
        <v>126421.22</v>
      </c>
      <c r="I47" s="76">
        <f t="shared" si="2"/>
        <v>26710595.309999999</v>
      </c>
      <c r="J47" s="72">
        <f t="shared" si="3"/>
        <v>21189369.57</v>
      </c>
      <c r="K47" s="72">
        <f t="shared" si="4"/>
        <v>2893869.53</v>
      </c>
      <c r="L47" s="72">
        <f t="shared" si="5"/>
        <v>711537.55</v>
      </c>
      <c r="M47" s="72">
        <f t="shared" si="6"/>
        <v>1199474.22</v>
      </c>
      <c r="N47" s="72">
        <f t="shared" si="7"/>
        <v>589923.22</v>
      </c>
      <c r="O47" s="72">
        <f t="shared" si="8"/>
        <v>126421.22</v>
      </c>
      <c r="P47" s="74">
        <f t="shared" si="10"/>
        <v>26710595.309999999</v>
      </c>
      <c r="Q47" s="79">
        <f t="shared" si="9"/>
        <v>3.2226555428876255E-3</v>
      </c>
    </row>
    <row r="48" spans="1:17" ht="12.75" customHeight="1">
      <c r="A48" s="69">
        <v>54</v>
      </c>
      <c r="B48" s="78" t="s">
        <v>29</v>
      </c>
      <c r="C48" s="72">
        <v>60965138.740000002</v>
      </c>
      <c r="D48" s="75">
        <v>8326116.3899999997</v>
      </c>
      <c r="E48" s="75">
        <v>2047205.11</v>
      </c>
      <c r="F48" s="75">
        <v>3451075.42</v>
      </c>
      <c r="G48" s="75">
        <v>1697301.61</v>
      </c>
      <c r="H48" s="75">
        <v>363733.69</v>
      </c>
      <c r="I48" s="76">
        <f t="shared" si="2"/>
        <v>76850570.959999993</v>
      </c>
      <c r="J48" s="72">
        <f t="shared" si="3"/>
        <v>60965138.740000002</v>
      </c>
      <c r="K48" s="72">
        <f t="shared" si="4"/>
        <v>8326116.3899999997</v>
      </c>
      <c r="L48" s="72">
        <f t="shared" si="5"/>
        <v>2047205.11</v>
      </c>
      <c r="M48" s="72">
        <f t="shared" si="6"/>
        <v>3451075.42</v>
      </c>
      <c r="N48" s="72">
        <f t="shared" si="7"/>
        <v>1697301.61</v>
      </c>
      <c r="O48" s="72">
        <f t="shared" si="8"/>
        <v>363733.69</v>
      </c>
      <c r="P48" s="74">
        <f t="shared" si="10"/>
        <v>76850570.959999993</v>
      </c>
      <c r="Q48" s="79">
        <f t="shared" si="9"/>
        <v>9.2720853131117564E-3</v>
      </c>
    </row>
    <row r="49" spans="1:17" ht="12.75" customHeight="1">
      <c r="A49" s="69">
        <v>55</v>
      </c>
      <c r="B49" s="78" t="s">
        <v>30</v>
      </c>
      <c r="C49" s="72">
        <v>52786864.539999999</v>
      </c>
      <c r="D49" s="75">
        <v>7209195.0700000003</v>
      </c>
      <c r="E49" s="75">
        <v>1772579.23</v>
      </c>
      <c r="F49" s="75">
        <v>2988124.93</v>
      </c>
      <c r="G49" s="75">
        <v>1469614.14</v>
      </c>
      <c r="H49" s="75">
        <v>314940</v>
      </c>
      <c r="I49" s="76">
        <f t="shared" si="2"/>
        <v>66541317.909999996</v>
      </c>
      <c r="J49" s="72">
        <f t="shared" si="3"/>
        <v>52786864.539999999</v>
      </c>
      <c r="K49" s="72">
        <f t="shared" si="4"/>
        <v>7209195.0700000003</v>
      </c>
      <c r="L49" s="72">
        <f t="shared" si="5"/>
        <v>1772579.23</v>
      </c>
      <c r="M49" s="72">
        <f t="shared" si="6"/>
        <v>2988124.93</v>
      </c>
      <c r="N49" s="72">
        <f t="shared" si="7"/>
        <v>1469614.14</v>
      </c>
      <c r="O49" s="72">
        <f t="shared" si="8"/>
        <v>314940</v>
      </c>
      <c r="P49" s="74">
        <f t="shared" si="10"/>
        <v>66541317.909999996</v>
      </c>
      <c r="Q49" s="79">
        <f t="shared" si="9"/>
        <v>8.0282653570595067E-3</v>
      </c>
    </row>
    <row r="50" spans="1:17" ht="12.75" customHeight="1">
      <c r="A50" s="69">
        <v>58</v>
      </c>
      <c r="B50" s="78" t="s">
        <v>130</v>
      </c>
      <c r="C50" s="72">
        <v>474720406.57999998</v>
      </c>
      <c r="D50" s="75">
        <v>64833402.130000003</v>
      </c>
      <c r="E50" s="75">
        <v>15941078.16</v>
      </c>
      <c r="F50" s="75">
        <v>26872667.890000001</v>
      </c>
      <c r="G50" s="75">
        <v>13216466.42</v>
      </c>
      <c r="H50" s="75">
        <v>2832303.94</v>
      </c>
      <c r="I50" s="76">
        <f t="shared" si="2"/>
        <v>598416325.12</v>
      </c>
      <c r="J50" s="72">
        <f t="shared" si="3"/>
        <v>474720406.57999998</v>
      </c>
      <c r="K50" s="72">
        <f t="shared" si="4"/>
        <v>64833402.130000003</v>
      </c>
      <c r="L50" s="72">
        <f t="shared" si="5"/>
        <v>15941078.16</v>
      </c>
      <c r="M50" s="72">
        <f t="shared" si="6"/>
        <v>26872667.890000001</v>
      </c>
      <c r="N50" s="72">
        <f t="shared" si="7"/>
        <v>13216466.42</v>
      </c>
      <c r="O50" s="72">
        <f t="shared" si="8"/>
        <v>2832303.94</v>
      </c>
      <c r="P50" s="74">
        <f t="shared" si="10"/>
        <v>598416325.12</v>
      </c>
      <c r="Q50" s="79">
        <f t="shared" si="9"/>
        <v>7.2199427407760433E-2</v>
      </c>
    </row>
    <row r="51" spans="1:17" ht="12.75" customHeight="1">
      <c r="A51" s="69">
        <v>31</v>
      </c>
      <c r="B51" s="78" t="s">
        <v>131</v>
      </c>
      <c r="C51" s="72">
        <v>917280808.95000005</v>
      </c>
      <c r="D51" s="75">
        <v>125274655.84</v>
      </c>
      <c r="E51" s="75">
        <v>30802225.620000001</v>
      </c>
      <c r="F51" s="75">
        <v>51924842.920000002</v>
      </c>
      <c r="G51" s="75">
        <v>25537581.359999999</v>
      </c>
      <c r="H51" s="75">
        <v>5472733.04</v>
      </c>
      <c r="I51" s="76">
        <f t="shared" si="2"/>
        <v>1156292847.73</v>
      </c>
      <c r="J51" s="72">
        <f t="shared" si="3"/>
        <v>917280808.95000005</v>
      </c>
      <c r="K51" s="72">
        <f t="shared" si="4"/>
        <v>125274655.84</v>
      </c>
      <c r="L51" s="72">
        <f t="shared" si="5"/>
        <v>30802225.620000001</v>
      </c>
      <c r="M51" s="72">
        <f t="shared" si="6"/>
        <v>51924842.920000002</v>
      </c>
      <c r="N51" s="72">
        <f t="shared" si="7"/>
        <v>25537581.359999999</v>
      </c>
      <c r="O51" s="72">
        <f t="shared" si="8"/>
        <v>5472733.04</v>
      </c>
      <c r="P51" s="74">
        <f t="shared" si="10"/>
        <v>1156292847.73</v>
      </c>
      <c r="Q51" s="79">
        <f t="shared" si="9"/>
        <v>0.13950769392037193</v>
      </c>
    </row>
    <row r="52" spans="1:17" ht="12.75" customHeight="1">
      <c r="A52" s="69">
        <v>57</v>
      </c>
      <c r="B52" s="78" t="s">
        <v>31</v>
      </c>
      <c r="C52" s="72">
        <v>247174909.66</v>
      </c>
      <c r="D52" s="75">
        <v>33757112.799999997</v>
      </c>
      <c r="E52" s="75">
        <v>8300116.2400000002</v>
      </c>
      <c r="F52" s="75">
        <v>13991918.539999999</v>
      </c>
      <c r="G52" s="75">
        <v>6881479.8099999996</v>
      </c>
      <c r="H52" s="75">
        <v>1474709.03</v>
      </c>
      <c r="I52" s="76">
        <f t="shared" si="2"/>
        <v>311580246.07999998</v>
      </c>
      <c r="J52" s="72">
        <f t="shared" si="3"/>
        <v>247174909.66</v>
      </c>
      <c r="K52" s="72">
        <f t="shared" si="4"/>
        <v>33757112.799999997</v>
      </c>
      <c r="L52" s="72">
        <f t="shared" si="5"/>
        <v>8300116.2400000002</v>
      </c>
      <c r="M52" s="72">
        <f t="shared" si="6"/>
        <v>13991918.539999999</v>
      </c>
      <c r="N52" s="72">
        <f t="shared" si="7"/>
        <v>6881479.8099999996</v>
      </c>
      <c r="O52" s="72">
        <f t="shared" si="8"/>
        <v>1474709.03</v>
      </c>
      <c r="P52" s="74">
        <f t="shared" si="10"/>
        <v>311580246.07999998</v>
      </c>
      <c r="Q52" s="79">
        <f t="shared" si="9"/>
        <v>3.7592415872066999E-2</v>
      </c>
    </row>
    <row r="53" spans="1:17" ht="12.75" customHeight="1">
      <c r="A53" s="69">
        <v>56</v>
      </c>
      <c r="B53" s="78" t="s">
        <v>32</v>
      </c>
      <c r="C53" s="72">
        <v>79956792.879999995</v>
      </c>
      <c r="D53" s="75">
        <v>10919840.050000001</v>
      </c>
      <c r="E53" s="75">
        <v>2684943.53</v>
      </c>
      <c r="F53" s="75">
        <v>4526142.78</v>
      </c>
      <c r="G53" s="75">
        <v>2226039.27</v>
      </c>
      <c r="H53" s="75">
        <v>477042.77</v>
      </c>
      <c r="I53" s="76">
        <f t="shared" si="2"/>
        <v>100790801.27999999</v>
      </c>
      <c r="J53" s="72">
        <f t="shared" si="3"/>
        <v>79956792.879999995</v>
      </c>
      <c r="K53" s="72">
        <f t="shared" si="4"/>
        <v>10919840.050000001</v>
      </c>
      <c r="L53" s="72">
        <f t="shared" si="5"/>
        <v>2684943.53</v>
      </c>
      <c r="M53" s="72">
        <f t="shared" si="6"/>
        <v>4526142.78</v>
      </c>
      <c r="N53" s="72">
        <f t="shared" si="7"/>
        <v>2226039.27</v>
      </c>
      <c r="O53" s="72">
        <f t="shared" si="8"/>
        <v>477042.77</v>
      </c>
      <c r="P53" s="74">
        <f t="shared" si="10"/>
        <v>100790801.27999999</v>
      </c>
      <c r="Q53" s="79">
        <f t="shared" si="9"/>
        <v>1.216049401547678E-2</v>
      </c>
    </row>
    <row r="54" spans="1:17" ht="12.75" customHeight="1">
      <c r="A54" s="69">
        <v>59</v>
      </c>
      <c r="B54" s="78" t="s">
        <v>33</v>
      </c>
      <c r="C54" s="72">
        <v>16102991.52</v>
      </c>
      <c r="D54" s="75">
        <v>2199213.92</v>
      </c>
      <c r="E54" s="75">
        <v>540737.32999999996</v>
      </c>
      <c r="F54" s="75">
        <v>911547.8</v>
      </c>
      <c r="G54" s="75">
        <v>448315.77</v>
      </c>
      <c r="H54" s="75">
        <v>96074.59</v>
      </c>
      <c r="I54" s="76">
        <f t="shared" si="2"/>
        <v>20298880.929999996</v>
      </c>
      <c r="J54" s="72">
        <f t="shared" si="3"/>
        <v>16102991.52</v>
      </c>
      <c r="K54" s="72">
        <f t="shared" si="4"/>
        <v>2199213.92</v>
      </c>
      <c r="L54" s="72">
        <f t="shared" si="5"/>
        <v>540737.32999999996</v>
      </c>
      <c r="M54" s="72">
        <f t="shared" si="6"/>
        <v>911547.8</v>
      </c>
      <c r="N54" s="72">
        <f t="shared" si="7"/>
        <v>448315.77</v>
      </c>
      <c r="O54" s="72">
        <f t="shared" si="8"/>
        <v>96074.59</v>
      </c>
      <c r="P54" s="74">
        <f t="shared" si="10"/>
        <v>20298880.929999996</v>
      </c>
      <c r="Q54" s="79">
        <f t="shared" si="9"/>
        <v>2.4490768694694588E-3</v>
      </c>
    </row>
    <row r="55" spans="1:17" ht="12.75" customHeight="1">
      <c r="A55" s="69">
        <v>60</v>
      </c>
      <c r="B55" s="78" t="s">
        <v>34</v>
      </c>
      <c r="C55" s="72">
        <v>21809438.43</v>
      </c>
      <c r="D55" s="75">
        <v>2978553.42</v>
      </c>
      <c r="E55" s="75">
        <v>732359.42</v>
      </c>
      <c r="F55" s="75">
        <v>1234574.68</v>
      </c>
      <c r="G55" s="75">
        <v>607186.26</v>
      </c>
      <c r="H55" s="75">
        <v>130120.71</v>
      </c>
      <c r="I55" s="76">
        <f t="shared" si="2"/>
        <v>27492232.920000006</v>
      </c>
      <c r="J55" s="72">
        <f t="shared" si="3"/>
        <v>21809438.43</v>
      </c>
      <c r="K55" s="72">
        <f t="shared" si="4"/>
        <v>2978553.42</v>
      </c>
      <c r="L55" s="72">
        <f t="shared" si="5"/>
        <v>732359.42</v>
      </c>
      <c r="M55" s="72">
        <f t="shared" si="6"/>
        <v>1234574.68</v>
      </c>
      <c r="N55" s="72">
        <f t="shared" si="7"/>
        <v>607186.26</v>
      </c>
      <c r="O55" s="72">
        <f t="shared" si="8"/>
        <v>130120.71</v>
      </c>
      <c r="P55" s="74">
        <f t="shared" si="10"/>
        <v>27492232.920000006</v>
      </c>
      <c r="Q55" s="79">
        <f t="shared" si="9"/>
        <v>3.3169607707255427E-3</v>
      </c>
    </row>
    <row r="56" spans="1:17" s="24" customFormat="1" ht="16.5" customHeight="1">
      <c r="B56" s="80" t="s">
        <v>35</v>
      </c>
      <c r="C56" s="81">
        <f>SUM(C5:C55)</f>
        <v>6575127028.2700005</v>
      </c>
      <c r="D56" s="81">
        <f t="shared" ref="D56:P56" si="11">SUM(D5:D55)</f>
        <v>897976680.14999986</v>
      </c>
      <c r="E56" s="81">
        <f t="shared" si="11"/>
        <v>220792307.28000006</v>
      </c>
      <c r="F56" s="81">
        <f t="shared" si="11"/>
        <v>372200568.00000006</v>
      </c>
      <c r="G56" s="81">
        <f t="shared" si="11"/>
        <v>183055003.20999998</v>
      </c>
      <c r="H56" s="81">
        <f t="shared" si="11"/>
        <v>39228897.610000014</v>
      </c>
      <c r="I56" s="82">
        <f t="shared" si="11"/>
        <v>8288380484.5199995</v>
      </c>
      <c r="J56" s="81">
        <f t="shared" si="11"/>
        <v>6575127028.2700005</v>
      </c>
      <c r="K56" s="81">
        <f t="shared" si="11"/>
        <v>897976680.14999986</v>
      </c>
      <c r="L56" s="81">
        <f t="shared" si="11"/>
        <v>220792307.28000006</v>
      </c>
      <c r="M56" s="81">
        <f t="shared" si="11"/>
        <v>372200568.00000006</v>
      </c>
      <c r="N56" s="81">
        <f t="shared" si="11"/>
        <v>183055003.20999998</v>
      </c>
      <c r="O56" s="81">
        <f t="shared" si="11"/>
        <v>39228897.610000014</v>
      </c>
      <c r="P56" s="83">
        <f t="shared" si="11"/>
        <v>8288380484.5199995</v>
      </c>
      <c r="Q56" s="84">
        <f t="shared" ref="Q56" si="12">SUM(Q5:Q55)</f>
        <v>0.99999999999999989</v>
      </c>
    </row>
    <row r="58" spans="1:17">
      <c r="B58" s="4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71"/>
    </row>
    <row r="59" spans="1:17">
      <c r="B59" s="4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71"/>
    </row>
  </sheetData>
  <mergeCells count="5">
    <mergeCell ref="B1:P1"/>
    <mergeCell ref="B3:B4"/>
    <mergeCell ref="C3:I3"/>
    <mergeCell ref="J3:P3"/>
    <mergeCell ref="Q3:Q4"/>
  </mergeCells>
  <printOptions horizontalCentered="1" verticalCentered="1"/>
  <pageMargins left="0.19685039370078741" right="0.19685039370078741" top="0.39370078740157483" bottom="0.19685039370078741" header="0.11811023622047245" footer="0.15748031496062992"/>
  <pageSetup scale="81" orientation="portrait" horizontalDpi="300" verticalDpi="300" r:id="rId1"/>
  <headerFooter alignWithMargins="0">
    <oddHeader>&amp;LANEXO 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zoomScaleSheetLayoutView="100" workbookViewId="0">
      <selection activeCell="B2" sqref="B2"/>
    </sheetView>
  </sheetViews>
  <sheetFormatPr baseColWidth="10" defaultColWidth="9.7109375" defaultRowHeight="12.75"/>
  <cols>
    <col min="1" max="1" width="3" style="2" bestFit="1" customWidth="1"/>
    <col min="2" max="2" width="26.28515625" style="2" customWidth="1"/>
    <col min="3" max="3" width="13.28515625" style="2" bestFit="1" customWidth="1"/>
    <col min="4" max="8" width="11.7109375" style="2" customWidth="1"/>
    <col min="9" max="9" width="5.42578125" style="2" customWidth="1"/>
    <col min="10" max="16384" width="9.7109375" style="2"/>
  </cols>
  <sheetData>
    <row r="1" spans="1:8" ht="47.25" customHeight="1">
      <c r="B1" s="240" t="s">
        <v>194</v>
      </c>
      <c r="C1" s="241"/>
      <c r="D1" s="241"/>
      <c r="E1" s="241"/>
      <c r="F1" s="241"/>
      <c r="G1" s="241"/>
      <c r="H1" s="241"/>
    </row>
    <row r="2" spans="1:8" ht="8.25" customHeight="1"/>
    <row r="3" spans="1:8">
      <c r="B3" s="242" t="s">
        <v>0</v>
      </c>
      <c r="C3" s="243" t="s">
        <v>191</v>
      </c>
      <c r="D3" s="243"/>
      <c r="E3" s="243"/>
      <c r="F3" s="243"/>
      <c r="G3" s="243"/>
      <c r="H3" s="243"/>
    </row>
    <row r="4" spans="1:8">
      <c r="B4" s="242"/>
      <c r="C4" s="87" t="s">
        <v>77</v>
      </c>
      <c r="D4" s="88" t="s">
        <v>134</v>
      </c>
      <c r="E4" s="88" t="s">
        <v>78</v>
      </c>
      <c r="F4" s="88" t="s">
        <v>87</v>
      </c>
      <c r="G4" s="88" t="s">
        <v>97</v>
      </c>
      <c r="H4" s="88" t="s">
        <v>98</v>
      </c>
    </row>
    <row r="5" spans="1:8" ht="12.75" customHeight="1">
      <c r="A5" s="69">
        <v>15</v>
      </c>
      <c r="B5" s="78" t="s">
        <v>1</v>
      </c>
      <c r="C5" s="72">
        <f>IF('PART 2025'!F$4&lt;1,0,'COEF Art 14 F I'!$AD5*'PART 2025'!$F$4)</f>
        <v>2273148.9711393029</v>
      </c>
      <c r="D5" s="72">
        <f>IF('PART 2025'!F$5&lt;1,0,'COEF Art 14 F I'!$AD5*'PART 2025'!$F$5)</f>
        <v>366836.98257971049</v>
      </c>
      <c r="E5" s="72">
        <f>IF('PART 2025'!F$6&lt;1,0,'COEF Art 14 F I'!$AD5*'PART 2025'!$F$6)</f>
        <v>75294.078542931456</v>
      </c>
      <c r="F5" s="72">
        <f>IF('PART 2025'!F$7&lt;1,0,'COEF Art 14 F I'!$AD5*'PART 2025'!$F$7)</f>
        <v>225214.39427332257</v>
      </c>
      <c r="G5" s="72">
        <f>IF('PART 2025'!F$8&lt;1,0,'COEF Art 14 F I'!$AD5*'PART 2025'!$F$8)</f>
        <v>100598.40682229341</v>
      </c>
      <c r="H5" s="89">
        <f>IF('PART 2025'!F$9&lt;1,0,'COEF Art 14 F I'!$AD5*'PART 2025'!$F$9)</f>
        <v>7324.7329741454614</v>
      </c>
    </row>
    <row r="6" spans="1:8" ht="12.75" customHeight="1">
      <c r="A6" s="69">
        <v>11</v>
      </c>
      <c r="B6" s="78" t="s">
        <v>2</v>
      </c>
      <c r="C6" s="72">
        <f>IF('PART 2025'!F$4&lt;1,0,'COEF Art 14 F I'!$AD6*'PART 2025'!$F$4)</f>
        <v>4042882.2129095341</v>
      </c>
      <c r="D6" s="72">
        <f>IF('PART 2025'!F$5&lt;1,0,'COEF Art 14 F I'!$AD6*'PART 2025'!$F$5)</f>
        <v>652433.57595063234</v>
      </c>
      <c r="E6" s="72">
        <f>IF('PART 2025'!F$6&lt;1,0,'COEF Art 14 F I'!$AD6*'PART 2025'!$F$6)</f>
        <v>133913.39271797182</v>
      </c>
      <c r="F6" s="72">
        <f>IF('PART 2025'!F$7&lt;1,0,'COEF Art 14 F I'!$AD6*'PART 2025'!$F$7)</f>
        <v>400552.39681122184</v>
      </c>
      <c r="G6" s="72">
        <f>IF('PART 2025'!F$8&lt;1,0,'COEF Art 14 F I'!$AD6*'PART 2025'!$F$8)</f>
        <v>178918.10644730658</v>
      </c>
      <c r="H6" s="89">
        <f>IF('PART 2025'!F$9&lt;1,0,'COEF Art 14 F I'!$AD6*'PART 2025'!$F$9)</f>
        <v>13027.317184866497</v>
      </c>
    </row>
    <row r="7" spans="1:8" ht="12.75" customHeight="1">
      <c r="A7" s="69">
        <v>12</v>
      </c>
      <c r="B7" s="78" t="s">
        <v>132</v>
      </c>
      <c r="C7" s="72">
        <f>IF('PART 2025'!F$4&lt;1,0,'COEF Art 14 F I'!$AD7*'PART 2025'!$F$4)</f>
        <v>5064410.4232990732</v>
      </c>
      <c r="D7" s="72">
        <f>IF('PART 2025'!F$5&lt;1,0,'COEF Art 14 F I'!$AD7*'PART 2025'!$F$5)</f>
        <v>817286.09159175784</v>
      </c>
      <c r="E7" s="72">
        <f>IF('PART 2025'!F$6&lt;1,0,'COEF Art 14 F I'!$AD7*'PART 2025'!$F$6)</f>
        <v>167749.7256127492</v>
      </c>
      <c r="F7" s="72">
        <f>IF('PART 2025'!F$7&lt;1,0,'COEF Art 14 F I'!$AD7*'PART 2025'!$F$7)</f>
        <v>501761.27491685859</v>
      </c>
      <c r="G7" s="72">
        <f>IF('PART 2025'!F$8&lt;1,0,'COEF Art 14 F I'!$AD7*'PART 2025'!$F$8)</f>
        <v>224125.92687348428</v>
      </c>
      <c r="H7" s="89">
        <f>IF('PART 2025'!F$9&lt;1,0,'COEF Art 14 F I'!$AD7*'PART 2025'!$F$9)</f>
        <v>16318.971828560996</v>
      </c>
    </row>
    <row r="8" spans="1:8" ht="12.75" customHeight="1">
      <c r="A8" s="69">
        <v>13</v>
      </c>
      <c r="B8" s="78" t="s">
        <v>3</v>
      </c>
      <c r="C8" s="72">
        <f>IF('PART 2025'!F$4&lt;1,0,'COEF Art 14 F I'!$AD8*'PART 2025'!$F$4)</f>
        <v>18674769.200259294</v>
      </c>
      <c r="D8" s="72">
        <f>IF('PART 2025'!F$5&lt;1,0,'COEF Art 14 F I'!$AD8*'PART 2025'!$F$5)</f>
        <v>3013703.0484025478</v>
      </c>
      <c r="E8" s="72">
        <f>IF('PART 2025'!F$6&lt;1,0,'COEF Art 14 F I'!$AD8*'PART 2025'!$F$6)</f>
        <v>618569.02331865346</v>
      </c>
      <c r="F8" s="72">
        <f>IF('PART 2025'!F$7&lt;1,0,'COEF Art 14 F I'!$AD8*'PART 2025'!$F$7)</f>
        <v>1850220.5033762201</v>
      </c>
      <c r="G8" s="72">
        <f>IF('PART 2025'!F$8&lt;1,0,'COEF Art 14 F I'!$AD8*'PART 2025'!$F$8)</f>
        <v>826453.5466756227</v>
      </c>
      <c r="H8" s="89">
        <f>IF('PART 2025'!F$9&lt;1,0,'COEF Art 14 F I'!$AD8*'PART 2025'!$F$9)</f>
        <v>60175.421621019981</v>
      </c>
    </row>
    <row r="9" spans="1:8" ht="12.75" customHeight="1">
      <c r="A9" s="69">
        <v>14</v>
      </c>
      <c r="B9" s="78" t="s">
        <v>133</v>
      </c>
      <c r="C9" s="72">
        <f>IF('PART 2025'!F$4&lt;1,0,'COEF Art 14 F I'!$AD9*'PART 2025'!$F$4)</f>
        <v>16201486.566153539</v>
      </c>
      <c r="D9" s="72">
        <f>IF('PART 2025'!F$5&lt;1,0,'COEF Art 14 F I'!$AD9*'PART 2025'!$F$5)</f>
        <v>2614568.8297123322</v>
      </c>
      <c r="E9" s="72">
        <f>IF('PART 2025'!F$6&lt;1,0,'COEF Art 14 F I'!$AD9*'PART 2025'!$F$6)</f>
        <v>536645.86769815232</v>
      </c>
      <c r="F9" s="72">
        <f>IF('PART 2025'!F$7&lt;1,0,'COEF Art 14 F I'!$AD9*'PART 2025'!$F$7)</f>
        <v>1605177.6762764733</v>
      </c>
      <c r="G9" s="72">
        <f>IF('PART 2025'!F$8&lt;1,0,'COEF Art 14 F I'!$AD9*'PART 2025'!$F$8)</f>
        <v>716998.20706909383</v>
      </c>
      <c r="H9" s="89">
        <f>IF('PART 2025'!F$9&lt;1,0,'COEF Art 14 F I'!$AD9*'PART 2025'!$F$9)</f>
        <v>52205.801022271473</v>
      </c>
    </row>
    <row r="10" spans="1:8" ht="12.75" customHeight="1">
      <c r="A10" s="69">
        <v>17</v>
      </c>
      <c r="B10" s="78" t="s">
        <v>4</v>
      </c>
      <c r="C10" s="72">
        <f>IF('PART 2025'!F$4&lt;1,0,'COEF Art 14 F I'!$AD10*'PART 2025'!$F$4)</f>
        <v>266032197.38650203</v>
      </c>
      <c r="D10" s="72">
        <f>IF('PART 2025'!F$5&lt;1,0,'COEF Art 14 F I'!$AD10*'PART 2025'!$F$5)</f>
        <v>42931831.480187587</v>
      </c>
      <c r="E10" s="72">
        <f>IF('PART 2025'!F$6&lt;1,0,'COEF Art 14 F I'!$AD10*'PART 2025'!$F$6)</f>
        <v>8811850.617484415</v>
      </c>
      <c r="F10" s="72">
        <f>IF('PART 2025'!F$7&lt;1,0,'COEF Art 14 F I'!$AD10*'PART 2025'!$F$7)</f>
        <v>26357392.74121264</v>
      </c>
      <c r="G10" s="72">
        <f>IF('PART 2025'!F$8&lt;1,0,'COEF Art 14 F I'!$AD10*'PART 2025'!$F$8)</f>
        <v>11773278.197030203</v>
      </c>
      <c r="H10" s="89">
        <f>IF('PART 2025'!F$9&lt;1,0,'COEF Art 14 F I'!$AD10*'PART 2025'!$F$9)</f>
        <v>857231.45870401943</v>
      </c>
    </row>
    <row r="11" spans="1:8" ht="12.75" customHeight="1">
      <c r="A11" s="69">
        <v>16</v>
      </c>
      <c r="B11" s="78" t="s">
        <v>5</v>
      </c>
      <c r="C11" s="72">
        <f>IF('PART 2025'!F$4&lt;1,0,'COEF Art 14 F I'!$AD11*'PART 2025'!$F$4)</f>
        <v>14831174.161409972</v>
      </c>
      <c r="D11" s="72">
        <f>IF('PART 2025'!F$5&lt;1,0,'COEF Art 14 F I'!$AD11*'PART 2025'!$F$5)</f>
        <v>2393430.1035971963</v>
      </c>
      <c r="E11" s="72">
        <f>IF('PART 2025'!F$6&lt;1,0,'COEF Art 14 F I'!$AD11*'PART 2025'!$F$6)</f>
        <v>491256.66921574785</v>
      </c>
      <c r="F11" s="72">
        <f>IF('PART 2025'!F$7&lt;1,0,'COEF Art 14 F I'!$AD11*'PART 2025'!$F$7)</f>
        <v>1469412.6726986985</v>
      </c>
      <c r="G11" s="72">
        <f>IF('PART 2025'!F$8&lt;1,0,'COEF Art 14 F I'!$AD11*'PART 2025'!$F$8)</f>
        <v>656354.91157186229</v>
      </c>
      <c r="H11" s="89">
        <f>IF('PART 2025'!F$9&lt;1,0,'COEF Art 14 F I'!$AD11*'PART 2025'!$F$9)</f>
        <v>47790.264432570912</v>
      </c>
    </row>
    <row r="12" spans="1:8" ht="12.75" customHeight="1">
      <c r="A12" s="69">
        <v>18</v>
      </c>
      <c r="B12" s="78" t="s">
        <v>6</v>
      </c>
      <c r="C12" s="72">
        <f>IF('PART 2025'!F$4&lt;1,0,'COEF Art 14 F I'!$AD12*'PART 2025'!$F$4)</f>
        <v>4137377.0810114304</v>
      </c>
      <c r="D12" s="72">
        <f>IF('PART 2025'!F$5&lt;1,0,'COEF Art 14 F I'!$AD12*'PART 2025'!$F$5)</f>
        <v>667682.99986603623</v>
      </c>
      <c r="E12" s="72">
        <f>IF('PART 2025'!F$6&lt;1,0,'COEF Art 14 F I'!$AD12*'PART 2025'!$F$6)</f>
        <v>137043.3697283224</v>
      </c>
      <c r="F12" s="72">
        <f>IF('PART 2025'!F$7&lt;1,0,'COEF Art 14 F I'!$AD12*'PART 2025'!$F$7)</f>
        <v>409914.56565792073</v>
      </c>
      <c r="G12" s="72">
        <f>IF('PART 2025'!F$8&lt;1,0,'COEF Art 14 F I'!$AD12*'PART 2025'!$F$8)</f>
        <v>183099.98511193675</v>
      </c>
      <c r="H12" s="89">
        <f>IF('PART 2025'!F$9&lt;1,0,'COEF Art 14 F I'!$AD12*'PART 2025'!$F$9)</f>
        <v>13331.80654524774</v>
      </c>
    </row>
    <row r="13" spans="1:8" ht="12.75" customHeight="1">
      <c r="A13" s="69">
        <v>19</v>
      </c>
      <c r="B13" s="78" t="s">
        <v>117</v>
      </c>
      <c r="C13" s="72">
        <f>IF('PART 2025'!F$4&lt;1,0,'COEF Art 14 F I'!$AD13*'PART 2025'!$F$4)</f>
        <v>40403729.08023712</v>
      </c>
      <c r="D13" s="72">
        <f>IF('PART 2025'!F$5&lt;1,0,'COEF Art 14 F I'!$AD13*'PART 2025'!$F$5)</f>
        <v>6520286.2852115259</v>
      </c>
      <c r="E13" s="72">
        <f>IF('PART 2025'!F$6&lt;1,0,'COEF Art 14 F I'!$AD13*'PART 2025'!$F$6)</f>
        <v>1338302.7638835153</v>
      </c>
      <c r="F13" s="72">
        <f>IF('PART 2025'!F$7&lt;1,0,'COEF Art 14 F I'!$AD13*'PART 2025'!$F$7)</f>
        <v>4003037.850453048</v>
      </c>
      <c r="G13" s="72">
        <f>IF('PART 2025'!F$8&lt;1,0,'COEF Art 14 F I'!$AD13*'PART 2025'!$F$8)</f>
        <v>1788070.5693979517</v>
      </c>
      <c r="H13" s="89">
        <f>IF('PART 2025'!F$9&lt;1,0,'COEF Art 14 F I'!$AD13*'PART 2025'!$F$9)</f>
        <v>130192.3149031998</v>
      </c>
    </row>
    <row r="14" spans="1:8" ht="12.75" customHeight="1">
      <c r="A14" s="69">
        <v>20</v>
      </c>
      <c r="B14" s="78" t="s">
        <v>118</v>
      </c>
      <c r="C14" s="72">
        <f>IF('PART 2025'!F$4&lt;1,0,'COEF Art 14 F I'!$AD14*'PART 2025'!$F$4)</f>
        <v>34833123.920400098</v>
      </c>
      <c r="D14" s="72">
        <f>IF('PART 2025'!F$5&lt;1,0,'COEF Art 14 F I'!$AD14*'PART 2025'!$F$5)</f>
        <v>5621311.3328777263</v>
      </c>
      <c r="E14" s="72">
        <f>IF('PART 2025'!F$6&lt;1,0,'COEF Art 14 F I'!$AD14*'PART 2025'!$F$6)</f>
        <v>1153786.2241574768</v>
      </c>
      <c r="F14" s="72">
        <f>IF('PART 2025'!F$7&lt;1,0,'COEF Art 14 F I'!$AD14*'PART 2025'!$F$7)</f>
        <v>3451124.8510248824</v>
      </c>
      <c r="G14" s="72">
        <f>IF('PART 2025'!F$8&lt;1,0,'COEF Art 14 F I'!$AD14*'PART 2025'!$F$8)</f>
        <v>1541542.9501215157</v>
      </c>
      <c r="H14" s="89">
        <f>IF('PART 2025'!F$9&lt;1,0,'COEF Art 14 F I'!$AD14*'PART 2025'!$F$9)</f>
        <v>112242.23955914853</v>
      </c>
    </row>
    <row r="15" spans="1:8" ht="12.75" customHeight="1">
      <c r="A15" s="69">
        <v>23</v>
      </c>
      <c r="B15" s="78" t="s">
        <v>119</v>
      </c>
      <c r="C15" s="72">
        <f>IF('PART 2025'!F$4&lt;1,0,'COEF Art 14 F I'!$AD15*'PART 2025'!$F$4)</f>
        <v>11228482.706070323</v>
      </c>
      <c r="D15" s="72">
        <f>IF('PART 2025'!F$5&lt;1,0,'COEF Art 14 F I'!$AD15*'PART 2025'!$F$5)</f>
        <v>1812033.7765539598</v>
      </c>
      <c r="E15" s="72">
        <f>IF('PART 2025'!F$6&lt;1,0,'COEF Art 14 F I'!$AD15*'PART 2025'!$F$6)</f>
        <v>371923.82440516975</v>
      </c>
      <c r="F15" s="72">
        <f>IF('PART 2025'!F$7&lt;1,0,'COEF Art 14 F I'!$AD15*'PART 2025'!$F$7)</f>
        <v>1112472.5934652062</v>
      </c>
      <c r="G15" s="72">
        <f>IF('PART 2025'!F$8&lt;1,0,'COEF Art 14 F I'!$AD15*'PART 2025'!$F$8)</f>
        <v>496917.48565700417</v>
      </c>
      <c r="H15" s="89">
        <f>IF('PART 2025'!F$9&lt;1,0,'COEF Art 14 F I'!$AD15*'PART 2025'!$F$9)</f>
        <v>36181.367156748121</v>
      </c>
    </row>
    <row r="16" spans="1:8" ht="12.75" customHeight="1">
      <c r="A16" s="69">
        <v>21</v>
      </c>
      <c r="B16" s="78" t="s">
        <v>7</v>
      </c>
      <c r="C16" s="72">
        <f>IF('PART 2025'!F$4&lt;1,0,'COEF Art 14 F I'!$AD16*'PART 2025'!$F$4)</f>
        <v>14519082.293875195</v>
      </c>
      <c r="D16" s="72">
        <f>IF('PART 2025'!F$5&lt;1,0,'COEF Art 14 F I'!$AD16*'PART 2025'!$F$5)</f>
        <v>2343065.2395131923</v>
      </c>
      <c r="E16" s="72">
        <f>IF('PART 2025'!F$6&lt;1,0,'COEF Art 14 F I'!$AD16*'PART 2025'!$F$6)</f>
        <v>480919.17269214947</v>
      </c>
      <c r="F16" s="72">
        <f>IF('PART 2025'!F$7&lt;1,0,'COEF Art 14 F I'!$AD16*'PART 2025'!$F$7)</f>
        <v>1438491.8743714129</v>
      </c>
      <c r="G16" s="72">
        <f>IF('PART 2025'!F$8&lt;1,0,'COEF Art 14 F I'!$AD16*'PART 2025'!$F$8)</f>
        <v>642543.25863806566</v>
      </c>
      <c r="H16" s="89">
        <f>IF('PART 2025'!F$9&lt;1,0,'COEF Art 14 F I'!$AD16*'PART 2025'!$F$9)</f>
        <v>46784.615607034902</v>
      </c>
    </row>
    <row r="17" spans="1:8" ht="12.75" customHeight="1">
      <c r="A17" s="69">
        <v>22</v>
      </c>
      <c r="B17" s="78" t="s">
        <v>120</v>
      </c>
      <c r="C17" s="72">
        <f>IF('PART 2025'!F$4&lt;1,0,'COEF Art 14 F I'!$AD17*'PART 2025'!$F$4)</f>
        <v>27766881.08293001</v>
      </c>
      <c r="D17" s="72">
        <f>IF('PART 2025'!F$5&lt;1,0,'COEF Art 14 F I'!$AD17*'PART 2025'!$F$5)</f>
        <v>4480972.8713057032</v>
      </c>
      <c r="E17" s="72">
        <f>IF('PART 2025'!F$6&lt;1,0,'COEF Art 14 F I'!$AD17*'PART 2025'!$F$6)</f>
        <v>919729.30577555578</v>
      </c>
      <c r="F17" s="72">
        <f>IF('PART 2025'!F$7&lt;1,0,'COEF Art 14 F I'!$AD17*'PART 2025'!$F$7)</f>
        <v>2751030.1275227047</v>
      </c>
      <c r="G17" s="72">
        <f>IF('PART 2025'!F$8&lt;1,0,'COEF Art 14 F I'!$AD17*'PART 2025'!$F$8)</f>
        <v>1228825.7544189158</v>
      </c>
      <c r="H17" s="89">
        <f>IF('PART 2025'!F$9&lt;1,0,'COEF Art 14 F I'!$AD17*'PART 2025'!$F$9)</f>
        <v>89472.793925765756</v>
      </c>
    </row>
    <row r="18" spans="1:8" ht="12.75" customHeight="1">
      <c r="A18" s="69">
        <v>25</v>
      </c>
      <c r="B18" s="78" t="s">
        <v>8</v>
      </c>
      <c r="C18" s="72">
        <f>IF('PART 2025'!F$4&lt;1,0,'COEF Art 14 F I'!$AD18*'PART 2025'!$F$4)</f>
        <v>32814552.462908126</v>
      </c>
      <c r="D18" s="72">
        <f>IF('PART 2025'!F$5&lt;1,0,'COEF Art 14 F I'!$AD18*'PART 2025'!$F$5)</f>
        <v>5295557.6440569051</v>
      </c>
      <c r="E18" s="72">
        <f>IF('PART 2025'!F$6&lt;1,0,'COEF Art 14 F I'!$AD18*'PART 2025'!$F$6)</f>
        <v>1086924.579894565</v>
      </c>
      <c r="F18" s="72">
        <f>IF('PART 2025'!F$7&lt;1,0,'COEF Art 14 F I'!$AD18*'PART 2025'!$F$7)</f>
        <v>3251132.9658170156</v>
      </c>
      <c r="G18" s="72">
        <f>IF('PART 2025'!F$8&lt;1,0,'COEF Art 14 F I'!$AD18*'PART 2025'!$F$8)</f>
        <v>1452210.8934640628</v>
      </c>
      <c r="H18" s="89">
        <f>IF('PART 2025'!F$9&lt;1,0,'COEF Art 14 F I'!$AD18*'PART 2025'!$F$9)</f>
        <v>105737.82779243981</v>
      </c>
    </row>
    <row r="19" spans="1:8" ht="12.75" customHeight="1">
      <c r="A19" s="69">
        <v>27</v>
      </c>
      <c r="B19" s="78" t="s">
        <v>9</v>
      </c>
      <c r="C19" s="72">
        <f>IF('PART 2025'!F$4&lt;1,0,'COEF Art 14 F I'!$AD19*'PART 2025'!$F$4)</f>
        <v>4712691.7822727878</v>
      </c>
      <c r="D19" s="72">
        <f>IF('PART 2025'!F$5&lt;1,0,'COEF Art 14 F I'!$AD19*'PART 2025'!$F$5)</f>
        <v>760526.3250171754</v>
      </c>
      <c r="E19" s="72">
        <f>IF('PART 2025'!F$6&lt;1,0,'COEF Art 14 F I'!$AD19*'PART 2025'!$F$6)</f>
        <v>156099.66161840688</v>
      </c>
      <c r="F19" s="72">
        <f>IF('PART 2025'!F$7&lt;1,0,'COEF Art 14 F I'!$AD19*'PART 2025'!$F$7)</f>
        <v>466914.41635234049</v>
      </c>
      <c r="G19" s="72">
        <f>IF('PART 2025'!F$8&lt;1,0,'COEF Art 14 F I'!$AD19*'PART 2025'!$F$8)</f>
        <v>208560.58760792227</v>
      </c>
      <c r="H19" s="89">
        <f>IF('PART 2025'!F$9&lt;1,0,'COEF Art 14 F I'!$AD19*'PART 2025'!$F$9)</f>
        <v>15185.634260167646</v>
      </c>
    </row>
    <row r="20" spans="1:8" ht="12.75" customHeight="1">
      <c r="A20" s="69">
        <v>26</v>
      </c>
      <c r="B20" s="78" t="s">
        <v>121</v>
      </c>
      <c r="C20" s="72">
        <f>IF('PART 2025'!F$4&lt;1,0,'COEF Art 14 F I'!$AD20*'PART 2025'!$F$4)</f>
        <v>3210579.5452867434</v>
      </c>
      <c r="D20" s="72">
        <f>IF('PART 2025'!F$5&lt;1,0,'COEF Art 14 F I'!$AD20*'PART 2025'!$F$5)</f>
        <v>518117.96220941679</v>
      </c>
      <c r="E20" s="72">
        <f>IF('PART 2025'!F$6&lt;1,0,'COEF Art 14 F I'!$AD20*'PART 2025'!$F$6)</f>
        <v>106344.82452330887</v>
      </c>
      <c r="F20" s="72">
        <f>IF('PART 2025'!F$7&lt;1,0,'COEF Art 14 F I'!$AD20*'PART 2025'!$F$7)</f>
        <v>318091.21915827238</v>
      </c>
      <c r="G20" s="72">
        <f>IF('PART 2025'!F$8&lt;1,0,'COEF Art 14 F I'!$AD20*'PART 2025'!$F$8)</f>
        <v>142084.47899048711</v>
      </c>
      <c r="H20" s="89">
        <f>IF('PART 2025'!F$9&lt;1,0,'COEF Art 14 F I'!$AD20*'PART 2025'!$F$9)</f>
        <v>10345.401097796159</v>
      </c>
    </row>
    <row r="21" spans="1:8" ht="12.75" customHeight="1">
      <c r="A21" s="69">
        <v>29</v>
      </c>
      <c r="B21" s="78" t="s">
        <v>10</v>
      </c>
      <c r="C21" s="72">
        <f>IF('PART 2025'!F$4&lt;1,0,'COEF Art 14 F I'!$AD21*'PART 2025'!$F$4)</f>
        <v>30614190.526676282</v>
      </c>
      <c r="D21" s="72">
        <f>IF('PART 2025'!F$5&lt;1,0,'COEF Art 14 F I'!$AD21*'PART 2025'!$F$5)</f>
        <v>4940466.9115449991</v>
      </c>
      <c r="E21" s="72">
        <f>IF('PART 2025'!F$6&lt;1,0,'COEF Art 14 F I'!$AD21*'PART 2025'!$F$6)</f>
        <v>1014041.4444058771</v>
      </c>
      <c r="F21" s="72">
        <f>IF('PART 2025'!F$7&lt;1,0,'COEF Art 14 F I'!$AD21*'PART 2025'!$F$7)</f>
        <v>3033130.0161897596</v>
      </c>
      <c r="G21" s="72">
        <f>IF('PART 2025'!F$8&lt;1,0,'COEF Art 14 F I'!$AD21*'PART 2025'!$F$8)</f>
        <v>1354833.6832469963</v>
      </c>
      <c r="H21" s="89">
        <f>IF('PART 2025'!F$9&lt;1,0,'COEF Art 14 F I'!$AD21*'PART 2025'!$F$9)</f>
        <v>98647.635361587338</v>
      </c>
    </row>
    <row r="22" spans="1:8" ht="12.75" customHeight="1">
      <c r="A22" s="69">
        <v>30</v>
      </c>
      <c r="B22" s="78" t="s">
        <v>122</v>
      </c>
      <c r="C22" s="72">
        <f>IF('PART 2025'!F$4&lt;1,0,'COEF Art 14 F I'!$AD22*'PART 2025'!$F$4)</f>
        <v>130539398.87632649</v>
      </c>
      <c r="D22" s="72">
        <f>IF('PART 2025'!F$5&lt;1,0,'COEF Art 14 F I'!$AD22*'PART 2025'!$F$5)</f>
        <v>21066230.062150322</v>
      </c>
      <c r="E22" s="72">
        <f>IF('PART 2025'!F$6&lt;1,0,'COEF Art 14 F I'!$AD22*'PART 2025'!$F$6)</f>
        <v>4323888.9649255881</v>
      </c>
      <c r="F22" s="72">
        <f>IF('PART 2025'!F$7&lt;1,0,'COEF Art 14 F I'!$AD22*'PART 2025'!$F$7)</f>
        <v>12933314.982871778</v>
      </c>
      <c r="G22" s="72">
        <f>IF('PART 2025'!F$8&lt;1,0,'COEF Art 14 F I'!$AD22*'PART 2025'!$F$8)</f>
        <v>5777032.5311836181</v>
      </c>
      <c r="H22" s="89">
        <f>IF('PART 2025'!F$9&lt;1,0,'COEF Art 14 F I'!$AD22*'PART 2025'!$F$9)</f>
        <v>420635.09761761228</v>
      </c>
    </row>
    <row r="23" spans="1:8" ht="12.75" customHeight="1">
      <c r="A23" s="69">
        <v>32</v>
      </c>
      <c r="B23" s="78" t="s">
        <v>11</v>
      </c>
      <c r="C23" s="72">
        <f>IF('PART 2025'!F$4&lt;1,0,'COEF Art 14 F I'!$AD23*'PART 2025'!$F$4)</f>
        <v>10527669.414886991</v>
      </c>
      <c r="D23" s="72">
        <f>IF('PART 2025'!F$5&lt;1,0,'COEF Art 14 F I'!$AD23*'PART 2025'!$F$5)</f>
        <v>1698937.698666641</v>
      </c>
      <c r="E23" s="72">
        <f>IF('PART 2025'!F$6&lt;1,0,'COEF Art 14 F I'!$AD23*'PART 2025'!$F$6)</f>
        <v>348710.61151844851</v>
      </c>
      <c r="F23" s="72">
        <f>IF('PART 2025'!F$7&lt;1,0,'COEF Art 14 F I'!$AD23*'PART 2025'!$F$7)</f>
        <v>1043038.8507248695</v>
      </c>
      <c r="G23" s="72">
        <f>IF('PART 2025'!F$8&lt;1,0,'COEF Art 14 F I'!$AD23*'PART 2025'!$F$8)</f>
        <v>465902.93207163305</v>
      </c>
      <c r="H23" s="89">
        <f>IF('PART 2025'!F$9&lt;1,0,'COEF Art 14 F I'!$AD23*'PART 2025'!$F$9)</f>
        <v>33923.14726538871</v>
      </c>
    </row>
    <row r="24" spans="1:8" ht="12.75" customHeight="1">
      <c r="A24" s="69">
        <v>33</v>
      </c>
      <c r="B24" s="78" t="s">
        <v>12</v>
      </c>
      <c r="C24" s="72">
        <f>IF('PART 2025'!F$4&lt;1,0,'COEF Art 14 F I'!$AD24*'PART 2025'!$F$4)</f>
        <v>192039775.74924743</v>
      </c>
      <c r="D24" s="72">
        <f>IF('PART 2025'!F$5&lt;1,0,'COEF Art 14 F I'!$AD24*'PART 2025'!$F$5)</f>
        <v>30991058.116103139</v>
      </c>
      <c r="E24" s="72">
        <f>IF('PART 2025'!F$6&lt;1,0,'COEF Art 14 F I'!$AD24*'PART 2025'!$F$6)</f>
        <v>6360981.2388950894</v>
      </c>
      <c r="F24" s="72">
        <f>IF('PART 2025'!F$7&lt;1,0,'COEF Art 14 F I'!$AD24*'PART 2025'!$F$7)</f>
        <v>19026523.259526845</v>
      </c>
      <c r="G24" s="72">
        <f>IF('PART 2025'!F$8&lt;1,0,'COEF Art 14 F I'!$AD24*'PART 2025'!$F$8)</f>
        <v>8498737.0964966528</v>
      </c>
      <c r="H24" s="89">
        <f>IF('PART 2025'!F$9&lt;1,0,'COEF Art 14 F I'!$AD24*'PART 2025'!$F$9)</f>
        <v>618806.81628754153</v>
      </c>
    </row>
    <row r="25" spans="1:8" ht="12.75" customHeight="1">
      <c r="A25" s="69">
        <v>34</v>
      </c>
      <c r="B25" s="78" t="s">
        <v>123</v>
      </c>
      <c r="C25" s="72">
        <f>IF('PART 2025'!F$4&lt;1,0,'COEF Art 14 F I'!$AD25*'PART 2025'!$F$4)</f>
        <v>13702243.974834515</v>
      </c>
      <c r="D25" s="72">
        <f>IF('PART 2025'!F$5&lt;1,0,'COEF Art 14 F I'!$AD25*'PART 2025'!$F$5)</f>
        <v>2211245.2365055662</v>
      </c>
      <c r="E25" s="72">
        <f>IF('PART 2025'!F$6&lt;1,0,'COEF Art 14 F I'!$AD25*'PART 2025'!$F$6)</f>
        <v>453862.83396046504</v>
      </c>
      <c r="F25" s="72">
        <f>IF('PART 2025'!F$7&lt;1,0,'COEF Art 14 F I'!$AD25*'PART 2025'!$F$7)</f>
        <v>1357562.8417485389</v>
      </c>
      <c r="G25" s="72">
        <f>IF('PART 2025'!F$8&lt;1,0,'COEF Art 14 F I'!$AD25*'PART 2025'!$F$8)</f>
        <v>606394.00728226581</v>
      </c>
      <c r="H25" s="89">
        <f>IF('PART 2025'!F$9&lt;1,0,'COEF Art 14 F I'!$AD25*'PART 2025'!$F$9)</f>
        <v>44152.530052596267</v>
      </c>
    </row>
    <row r="26" spans="1:8" ht="12.75" customHeight="1">
      <c r="A26" s="69">
        <v>35</v>
      </c>
      <c r="B26" s="78" t="s">
        <v>13</v>
      </c>
      <c r="C26" s="72">
        <f>IF('PART 2025'!F$4&lt;1,0,'COEF Art 14 F I'!$AD26*'PART 2025'!$F$4)</f>
        <v>2800593.559765337</v>
      </c>
      <c r="D26" s="72">
        <f>IF('PART 2025'!F$5&lt;1,0,'COEF Art 14 F I'!$AD26*'PART 2025'!$F$5)</f>
        <v>451955.10894368379</v>
      </c>
      <c r="E26" s="72">
        <f>IF('PART 2025'!F$6&lt;1,0,'COEF Art 14 F I'!$AD26*'PART 2025'!$F$6)</f>
        <v>92764.756790274143</v>
      </c>
      <c r="F26" s="72">
        <f>IF('PART 2025'!F$7&lt;1,0,'COEF Art 14 F I'!$AD26*'PART 2025'!$F$7)</f>
        <v>277471.46807197359</v>
      </c>
      <c r="G26" s="72">
        <f>IF('PART 2025'!F$8&lt;1,0,'COEF Art 14 F I'!$AD26*'PART 2025'!$F$8)</f>
        <v>123940.51329067207</v>
      </c>
      <c r="H26" s="89">
        <f>IF('PART 2025'!F$9&lt;1,0,'COEF Art 14 F I'!$AD26*'PART 2025'!$F$9)</f>
        <v>9024.3095612476136</v>
      </c>
    </row>
    <row r="27" spans="1:8" ht="12.75" customHeight="1">
      <c r="A27" s="69">
        <v>61</v>
      </c>
      <c r="B27" s="78" t="s">
        <v>14</v>
      </c>
      <c r="C27" s="72">
        <f>IF('PART 2025'!F$4&lt;1,0,'COEF Art 14 F I'!$AD27*'PART 2025'!$F$4)</f>
        <v>7978148.2143247118</v>
      </c>
      <c r="D27" s="72">
        <f>IF('PART 2025'!F$5&lt;1,0,'COEF Art 14 F I'!$AD27*'PART 2025'!$F$5)</f>
        <v>1287500.2275146665</v>
      </c>
      <c r="E27" s="72">
        <f>IF('PART 2025'!F$6&lt;1,0,'COEF Art 14 F I'!$AD27*'PART 2025'!$F$6)</f>
        <v>264262.18690605153</v>
      </c>
      <c r="F27" s="72">
        <f>IF('PART 2025'!F$7&lt;1,0,'COEF Art 14 F I'!$AD27*'PART 2025'!$F$7)</f>
        <v>790442.6152111697</v>
      </c>
      <c r="G27" s="72">
        <f>IF('PART 2025'!F$8&lt;1,0,'COEF Art 14 F I'!$AD27*'PART 2025'!$F$8)</f>
        <v>353073.64802885457</v>
      </c>
      <c r="H27" s="89">
        <f>IF('PART 2025'!F$9&lt;1,0,'COEF Art 14 F I'!$AD27*'PART 2025'!$F$9)</f>
        <v>25707.864306312891</v>
      </c>
    </row>
    <row r="28" spans="1:8" ht="12.75" customHeight="1">
      <c r="A28" s="69">
        <v>36</v>
      </c>
      <c r="B28" s="78" t="s">
        <v>15</v>
      </c>
      <c r="C28" s="72">
        <f>IF('PART 2025'!F$4&lt;1,0,'COEF Art 14 F I'!$AD28*'PART 2025'!$F$4)</f>
        <v>29816246.629771825</v>
      </c>
      <c r="D28" s="72">
        <f>IF('PART 2025'!F$5&lt;1,0,'COEF Art 14 F I'!$AD28*'PART 2025'!$F$5)</f>
        <v>4811696.0588095458</v>
      </c>
      <c r="E28" s="72">
        <f>IF('PART 2025'!F$6&lt;1,0,'COEF Art 14 F I'!$AD28*'PART 2025'!$F$6)</f>
        <v>987610.95031632134</v>
      </c>
      <c r="F28" s="72">
        <f>IF('PART 2025'!F$7&lt;1,0,'COEF Art 14 F I'!$AD28*'PART 2025'!$F$7)</f>
        <v>2954072.9663936072</v>
      </c>
      <c r="G28" s="72">
        <f>IF('PART 2025'!F$8&lt;1,0,'COEF Art 14 F I'!$AD28*'PART 2025'!$F$8)</f>
        <v>1319520.6061977923</v>
      </c>
      <c r="H28" s="89">
        <f>IF('PART 2025'!F$9&lt;1,0,'COEF Art 14 F I'!$AD28*'PART 2025'!$F$9)</f>
        <v>96076.433013047543</v>
      </c>
    </row>
    <row r="29" spans="1:8" ht="12.75" customHeight="1">
      <c r="A29" s="69">
        <v>28</v>
      </c>
      <c r="B29" s="78" t="s">
        <v>16</v>
      </c>
      <c r="C29" s="72">
        <f>IF('PART 2025'!F$4&lt;1,0,'COEF Art 14 F I'!$AD29*'PART 2025'!$F$4)</f>
        <v>237014385.1443052</v>
      </c>
      <c r="D29" s="72">
        <f>IF('PART 2025'!F$5&lt;1,0,'COEF Art 14 F I'!$AD29*'PART 2025'!$F$5)</f>
        <v>38248985.428678304</v>
      </c>
      <c r="E29" s="72">
        <f>IF('PART 2025'!F$6&lt;1,0,'COEF Art 14 F I'!$AD29*'PART 2025'!$F$6)</f>
        <v>7850686.4079020806</v>
      </c>
      <c r="F29" s="72">
        <f>IF('PART 2025'!F$7&lt;1,0,'COEF Art 14 F I'!$AD29*'PART 2025'!$F$7)</f>
        <v>23482425.420444436</v>
      </c>
      <c r="G29" s="72">
        <f>IF('PART 2025'!F$8&lt;1,0,'COEF Art 14 F I'!$AD29*'PART 2025'!$F$8)</f>
        <v>10489092.374589203</v>
      </c>
      <c r="H29" s="89">
        <f>IF('PART 2025'!F$9&lt;1,0,'COEF Art 14 F I'!$AD29*'PART 2025'!$F$9)</f>
        <v>763727.80854005681</v>
      </c>
    </row>
    <row r="30" spans="1:8" ht="12.75" customHeight="1">
      <c r="A30" s="69">
        <v>37</v>
      </c>
      <c r="B30" s="78" t="s">
        <v>124</v>
      </c>
      <c r="C30" s="72">
        <f>IF('PART 2025'!F$4&lt;1,0,'COEF Art 14 F I'!$AD30*'PART 2025'!$F$4)</f>
        <v>2875574.5163931828</v>
      </c>
      <c r="D30" s="72">
        <f>IF('PART 2025'!F$5&lt;1,0,'COEF Art 14 F I'!$AD30*'PART 2025'!$F$5)</f>
        <v>464055.41043272923</v>
      </c>
      <c r="E30" s="72">
        <f>IF('PART 2025'!F$6&lt;1,0,'COEF Art 14 F I'!$AD30*'PART 2025'!$F$6)</f>
        <v>95248.369659135773</v>
      </c>
      <c r="F30" s="72">
        <f>IF('PART 2025'!F$7&lt;1,0,'COEF Art 14 F I'!$AD30*'PART 2025'!$F$7)</f>
        <v>284900.27759716316</v>
      </c>
      <c r="G30" s="72">
        <f>IF('PART 2025'!F$8&lt;1,0,'COEF Art 14 F I'!$AD30*'PART 2025'!$F$8)</f>
        <v>127258.80209379975</v>
      </c>
      <c r="H30" s="89">
        <f>IF('PART 2025'!F$9&lt;1,0,'COEF Art 14 F I'!$AD30*'PART 2025'!$F$9)</f>
        <v>9265.9195447629845</v>
      </c>
    </row>
    <row r="31" spans="1:8" ht="12.75" customHeight="1">
      <c r="A31" s="69">
        <v>39</v>
      </c>
      <c r="B31" s="78" t="s">
        <v>17</v>
      </c>
      <c r="C31" s="72">
        <f>IF('PART 2025'!F$4&lt;1,0,'COEF Art 14 F I'!$AD31*'PART 2025'!$F$4)</f>
        <v>5476360.5193582624</v>
      </c>
      <c r="D31" s="72">
        <f>IF('PART 2025'!F$5&lt;1,0,'COEF Art 14 F I'!$AD31*'PART 2025'!$F$5)</f>
        <v>883765.90973409195</v>
      </c>
      <c r="E31" s="72">
        <f>IF('PART 2025'!F$6&lt;1,0,'COEF Art 14 F I'!$AD31*'PART 2025'!$F$6)</f>
        <v>181394.8510674627</v>
      </c>
      <c r="F31" s="72">
        <f>IF('PART 2025'!F$7&lt;1,0,'COEF Art 14 F I'!$AD31*'PART 2025'!$F$7)</f>
        <v>542575.62212099601</v>
      </c>
      <c r="G31" s="72">
        <f>IF('PART 2025'!F$8&lt;1,0,'COEF Art 14 F I'!$AD31*'PART 2025'!$F$8)</f>
        <v>242356.81445718478</v>
      </c>
      <c r="H31" s="89">
        <f>IF('PART 2025'!F$9&lt;1,0,'COEF Art 14 F I'!$AD31*'PART 2025'!$F$9)</f>
        <v>17646.392288292151</v>
      </c>
    </row>
    <row r="32" spans="1:8" ht="12.75" customHeight="1">
      <c r="A32" s="69">
        <v>38</v>
      </c>
      <c r="B32" s="78" t="s">
        <v>18</v>
      </c>
      <c r="C32" s="72">
        <f>IF('PART 2025'!F$4&lt;1,0,'COEF Art 14 F I'!$AD32*'PART 2025'!$F$4)</f>
        <v>4074220.083658176</v>
      </c>
      <c r="D32" s="72">
        <f>IF('PART 2025'!F$5&lt;1,0,'COEF Art 14 F I'!$AD32*'PART 2025'!$F$5)</f>
        <v>657490.82916714414</v>
      </c>
      <c r="E32" s="72">
        <f>IF('PART 2025'!F$6&lt;1,0,'COEF Art 14 F I'!$AD32*'PART 2025'!$F$6)</f>
        <v>134951.40480229809</v>
      </c>
      <c r="F32" s="72">
        <f>IF('PART 2025'!F$7&lt;1,0,'COEF Art 14 F I'!$AD32*'PART 2025'!$F$7)</f>
        <v>403657.22613304749</v>
      </c>
      <c r="G32" s="72">
        <f>IF('PART 2025'!F$8&lt;1,0,'COEF Art 14 F I'!$AD32*'PART 2025'!$F$8)</f>
        <v>180304.96666216361</v>
      </c>
      <c r="H32" s="89">
        <f>IF('PART 2025'!F$9&lt;1,0,'COEF Art 14 F I'!$AD32*'PART 2025'!$F$9)</f>
        <v>13128.296723878866</v>
      </c>
    </row>
    <row r="33" spans="1:8" ht="12.75" customHeight="1">
      <c r="A33" s="69">
        <v>40</v>
      </c>
      <c r="B33" s="78" t="s">
        <v>19</v>
      </c>
      <c r="C33" s="72">
        <f>IF('PART 2025'!F$4&lt;1,0,'COEF Art 14 F I'!$AD33*'PART 2025'!$F$4)</f>
        <v>4829482.2512181578</v>
      </c>
      <c r="D33" s="72">
        <f>IF('PART 2025'!F$5&lt;1,0,'COEF Art 14 F I'!$AD33*'PART 2025'!$F$5)</f>
        <v>779373.77574123244</v>
      </c>
      <c r="E33" s="72">
        <f>IF('PART 2025'!F$6&lt;1,0,'COEF Art 14 F I'!$AD33*'PART 2025'!$F$6)</f>
        <v>159968.14135883987</v>
      </c>
      <c r="F33" s="72">
        <f>IF('PART 2025'!F$7&lt;1,0,'COEF Art 14 F I'!$AD33*'PART 2025'!$F$7)</f>
        <v>478485.54303799971</v>
      </c>
      <c r="G33" s="72">
        <f>IF('PART 2025'!F$8&lt;1,0,'COEF Art 14 F I'!$AD33*'PART 2025'!$F$8)</f>
        <v>213729.16004074624</v>
      </c>
      <c r="H33" s="89">
        <f>IF('PART 2025'!F$9&lt;1,0,'COEF Art 14 F I'!$AD33*'PART 2025'!$F$9)</f>
        <v>15561.966392294167</v>
      </c>
    </row>
    <row r="34" spans="1:8" ht="12.75" customHeight="1">
      <c r="A34" s="69">
        <v>41</v>
      </c>
      <c r="B34" s="78" t="s">
        <v>20</v>
      </c>
      <c r="C34" s="72">
        <f>IF('PART 2025'!F$4&lt;1,0,'COEF Art 14 F I'!$AD34*'PART 2025'!$F$4)</f>
        <v>5062576.9437902858</v>
      </c>
      <c r="D34" s="72">
        <f>IF('PART 2025'!F$5&lt;1,0,'COEF Art 14 F I'!$AD34*'PART 2025'!$F$5)</f>
        <v>816990.20773233427</v>
      </c>
      <c r="E34" s="72">
        <f>IF('PART 2025'!F$6&lt;1,0,'COEF Art 14 F I'!$AD34*'PART 2025'!$F$6)</f>
        <v>167688.99481512254</v>
      </c>
      <c r="F34" s="72">
        <f>IF('PART 2025'!F$7&lt;1,0,'COEF Art 14 F I'!$AD34*'PART 2025'!$F$7)</f>
        <v>501579.62119234388</v>
      </c>
      <c r="G34" s="72">
        <f>IF('PART 2025'!F$8&lt;1,0,'COEF Art 14 F I'!$AD34*'PART 2025'!$F$8)</f>
        <v>224044.78607722887</v>
      </c>
      <c r="H34" s="89">
        <f>IF('PART 2025'!F$9&lt;1,0,'COEF Art 14 F I'!$AD34*'PART 2025'!$F$9)</f>
        <v>16313.063835734329</v>
      </c>
    </row>
    <row r="35" spans="1:8" ht="12.75" customHeight="1">
      <c r="A35" s="69">
        <v>42</v>
      </c>
      <c r="B35" s="78" t="s">
        <v>125</v>
      </c>
      <c r="C35" s="72">
        <f>IF('PART 2025'!F$4&lt;1,0,'COEF Art 14 F I'!$AD35*'PART 2025'!$F$4)</f>
        <v>146904442.25590077</v>
      </c>
      <c r="D35" s="72">
        <f>IF('PART 2025'!F$5&lt;1,0,'COEF Art 14 F I'!$AD35*'PART 2025'!$F$5)</f>
        <v>23707193.417112596</v>
      </c>
      <c r="E35" s="72">
        <f>IF('PART 2025'!F$6&lt;1,0,'COEF Art 14 F I'!$AD35*'PART 2025'!$F$6)</f>
        <v>4865952.3656197237</v>
      </c>
      <c r="F35" s="72">
        <f>IF('PART 2025'!F$7&lt;1,0,'COEF Art 14 F I'!$AD35*'PART 2025'!$F$7)</f>
        <v>14554697.205850426</v>
      </c>
      <c r="G35" s="72">
        <f>IF('PART 2025'!F$8&lt;1,0,'COEF Art 14 F I'!$AD35*'PART 2025'!$F$8)</f>
        <v>6501268.9593565455</v>
      </c>
      <c r="H35" s="89">
        <f>IF('PART 2025'!F$9&lt;1,0,'COEF Art 14 F I'!$AD35*'PART 2025'!$F$9)</f>
        <v>473367.92524465953</v>
      </c>
    </row>
    <row r="36" spans="1:8" ht="12.75" customHeight="1">
      <c r="A36" s="69">
        <v>43</v>
      </c>
      <c r="B36" s="78" t="s">
        <v>21</v>
      </c>
      <c r="C36" s="72">
        <f>IF('PART 2025'!F$4&lt;1,0,'COEF Art 14 F I'!$AD36*'PART 2025'!$F$4)</f>
        <v>14109121.109564884</v>
      </c>
      <c r="D36" s="72">
        <f>IF('PART 2025'!F$5&lt;1,0,'COEF Art 14 F I'!$AD36*'PART 2025'!$F$5)</f>
        <v>2276906.3886254639</v>
      </c>
      <c r="E36" s="72">
        <f>IF('PART 2025'!F$6&lt;1,0,'COEF Art 14 F I'!$AD36*'PART 2025'!$F$6)</f>
        <v>467339.92645579623</v>
      </c>
      <c r="F36" s="72">
        <f>IF('PART 2025'!F$7&lt;1,0,'COEF Art 14 F I'!$AD36*'PART 2025'!$F$7)</f>
        <v>1397874.5804886697</v>
      </c>
      <c r="G36" s="72">
        <f>IF('PART 2025'!F$8&lt;1,0,'COEF Art 14 F I'!$AD36*'PART 2025'!$F$8)</f>
        <v>624400.39051802002</v>
      </c>
      <c r="H36" s="89">
        <f>IF('PART 2025'!F$9&lt;1,0,'COEF Art 14 F I'!$AD36*'PART 2025'!$F$9)</f>
        <v>45463.603987047492</v>
      </c>
    </row>
    <row r="37" spans="1:8" ht="12.75" customHeight="1">
      <c r="A37" s="69">
        <v>44</v>
      </c>
      <c r="B37" s="78" t="s">
        <v>22</v>
      </c>
      <c r="C37" s="72">
        <f>IF('PART 2025'!F$4&lt;1,0,'COEF Art 14 F I'!$AD37*'PART 2025'!$F$4)</f>
        <v>32967907.97450237</v>
      </c>
      <c r="D37" s="72">
        <f>IF('PART 2025'!F$5&lt;1,0,'COEF Art 14 F I'!$AD37*'PART 2025'!$F$5)</f>
        <v>5320305.9002642417</v>
      </c>
      <c r="E37" s="72">
        <f>IF('PART 2025'!F$6&lt;1,0,'COEF Art 14 F I'!$AD37*'PART 2025'!$F$6)</f>
        <v>1092004.2126338047</v>
      </c>
      <c r="F37" s="72">
        <f>IF('PART 2025'!F$7&lt;1,0,'COEF Art 14 F I'!$AD37*'PART 2025'!$F$7)</f>
        <v>3266326.8088474008</v>
      </c>
      <c r="G37" s="72">
        <f>IF('PART 2025'!F$8&lt;1,0,'COEF Art 14 F I'!$AD37*'PART 2025'!$F$8)</f>
        <v>1458997.6550620352</v>
      </c>
      <c r="H37" s="89">
        <f>IF('PART 2025'!F$9&lt;1,0,'COEF Art 14 F I'!$AD37*'PART 2025'!$F$9)</f>
        <v>106231.98289921149</v>
      </c>
    </row>
    <row r="38" spans="1:8" ht="12.75" customHeight="1">
      <c r="A38" s="69">
        <v>46</v>
      </c>
      <c r="B38" s="78" t="s">
        <v>126</v>
      </c>
      <c r="C38" s="72">
        <f>IF('PART 2025'!F$4&lt;1,0,'COEF Art 14 F I'!$AD38*'PART 2025'!$F$4)</f>
        <v>6167106.9394430928</v>
      </c>
      <c r="D38" s="72">
        <f>IF('PART 2025'!F$5&lt;1,0,'COEF Art 14 F I'!$AD38*'PART 2025'!$F$5)</f>
        <v>995237.41278505849</v>
      </c>
      <c r="E38" s="72">
        <f>IF('PART 2025'!F$6&lt;1,0,'COEF Art 14 F I'!$AD38*'PART 2025'!$F$6)</f>
        <v>204274.61647986723</v>
      </c>
      <c r="F38" s="72">
        <f>IF('PART 2025'!F$7&lt;1,0,'COEF Art 14 F I'!$AD38*'PART 2025'!$F$7)</f>
        <v>611011.98004165676</v>
      </c>
      <c r="G38" s="72">
        <f>IF('PART 2025'!F$8&lt;1,0,'COEF Art 14 F I'!$AD38*'PART 2025'!$F$8)</f>
        <v>272925.85778033716</v>
      </c>
      <c r="H38" s="89">
        <f>IF('PART 2025'!F$9&lt;1,0,'COEF Art 14 F I'!$AD38*'PART 2025'!$F$9)</f>
        <v>19872.173855715093</v>
      </c>
    </row>
    <row r="39" spans="1:8" ht="12.75" customHeight="1">
      <c r="A39" s="69">
        <v>49</v>
      </c>
      <c r="B39" s="78" t="s">
        <v>23</v>
      </c>
      <c r="C39" s="72">
        <f>IF('PART 2025'!F$4&lt;1,0,'COEF Art 14 F I'!$AD39*'PART 2025'!$F$4)</f>
        <v>1097795.7884952819</v>
      </c>
      <c r="D39" s="72">
        <f>IF('PART 2025'!F$5&lt;1,0,'COEF Art 14 F I'!$AD39*'PART 2025'!$F$5)</f>
        <v>177160.44995435732</v>
      </c>
      <c r="E39" s="72">
        <f>IF('PART 2025'!F$6&lt;1,0,'COEF Art 14 F I'!$AD39*'PART 2025'!$F$6)</f>
        <v>36362.562846743458</v>
      </c>
      <c r="F39" s="72">
        <f>IF('PART 2025'!F$7&lt;1,0,'COEF Art 14 F I'!$AD39*'PART 2025'!$F$7)</f>
        <v>108765.16087630324</v>
      </c>
      <c r="G39" s="72">
        <f>IF('PART 2025'!F$8&lt;1,0,'COEF Art 14 F I'!$AD39*'PART 2025'!$F$8)</f>
        <v>48583.048775504561</v>
      </c>
      <c r="H39" s="89">
        <f>IF('PART 2025'!F$9&lt;1,0,'COEF Art 14 F I'!$AD39*'PART 2025'!$F$9)</f>
        <v>3537.4104878129597</v>
      </c>
    </row>
    <row r="40" spans="1:8" ht="12.75" customHeight="1">
      <c r="A40" s="69">
        <v>48</v>
      </c>
      <c r="B40" s="78" t="s">
        <v>24</v>
      </c>
      <c r="C40" s="72">
        <f>IF('PART 2025'!F$4&lt;1,0,'COEF Art 14 F I'!$AD40*'PART 2025'!$F$4)</f>
        <v>8757630.9040338602</v>
      </c>
      <c r="D40" s="72">
        <f>IF('PART 2025'!F$5&lt;1,0,'COEF Art 14 F I'!$AD40*'PART 2025'!$F$5)</f>
        <v>1413291.8414812188</v>
      </c>
      <c r="E40" s="72">
        <f>IF('PART 2025'!F$6&lt;1,0,'COEF Art 14 F I'!$AD40*'PART 2025'!$F$6)</f>
        <v>290081.18583967636</v>
      </c>
      <c r="F40" s="72">
        <f>IF('PART 2025'!F$7&lt;1,0,'COEF Art 14 F I'!$AD40*'PART 2025'!$F$7)</f>
        <v>867670.60336251371</v>
      </c>
      <c r="G40" s="72">
        <f>IF('PART 2025'!F$8&lt;1,0,'COEF Art 14 F I'!$AD40*'PART 2025'!$F$8)</f>
        <v>387569.72273661772</v>
      </c>
      <c r="H40" s="89">
        <f>IF('PART 2025'!F$9&lt;1,0,'COEF Art 14 F I'!$AD40*'PART 2025'!$F$9)</f>
        <v>28219.579390796149</v>
      </c>
    </row>
    <row r="41" spans="1:8" ht="12.75" customHeight="1">
      <c r="A41" s="69">
        <v>47</v>
      </c>
      <c r="B41" s="78" t="s">
        <v>25</v>
      </c>
      <c r="C41" s="72">
        <f>IF('PART 2025'!F$4&lt;1,0,'COEF Art 14 F I'!$AD41*'PART 2025'!$F$4)</f>
        <v>11391743.244149413</v>
      </c>
      <c r="D41" s="72">
        <f>IF('PART 2025'!F$5&lt;1,0,'COEF Art 14 F I'!$AD41*'PART 2025'!$F$5)</f>
        <v>1838380.4893843364</v>
      </c>
      <c r="E41" s="72">
        <f>IF('PART 2025'!F$6&lt;1,0,'COEF Art 14 F I'!$AD41*'PART 2025'!$F$6)</f>
        <v>377331.54379934887</v>
      </c>
      <c r="F41" s="72">
        <f>IF('PART 2025'!F$7&lt;1,0,'COEF Art 14 F I'!$AD41*'PART 2025'!$F$7)</f>
        <v>1128647.7864063845</v>
      </c>
      <c r="G41" s="72">
        <f>IF('PART 2025'!F$8&lt;1,0,'COEF Art 14 F I'!$AD41*'PART 2025'!$F$8)</f>
        <v>504142.59506964218</v>
      </c>
      <c r="H41" s="89">
        <f>IF('PART 2025'!F$9&lt;1,0,'COEF Art 14 F I'!$AD41*'PART 2025'!$F$9)</f>
        <v>36707.439078046482</v>
      </c>
    </row>
    <row r="42" spans="1:8" ht="12.75" customHeight="1">
      <c r="A42" s="69">
        <v>45</v>
      </c>
      <c r="B42" s="78" t="s">
        <v>26</v>
      </c>
      <c r="C42" s="72">
        <f>IF('PART 2025'!F$4&lt;1,0,'COEF Art 14 F I'!$AD42*'PART 2025'!$F$4)</f>
        <v>26335234.563737091</v>
      </c>
      <c r="D42" s="72">
        <f>IF('PART 2025'!F$5&lt;1,0,'COEF Art 14 F I'!$AD42*'PART 2025'!$F$5)</f>
        <v>4249936.14828871</v>
      </c>
      <c r="E42" s="72">
        <f>IF('PART 2025'!F$6&lt;1,0,'COEF Art 14 F I'!$AD42*'PART 2025'!$F$6)</f>
        <v>872308.52217077534</v>
      </c>
      <c r="F42" s="72">
        <f>IF('PART 2025'!F$7&lt;1,0,'COEF Art 14 F I'!$AD42*'PART 2025'!$F$7)</f>
        <v>2609188.3882758734</v>
      </c>
      <c r="G42" s="72">
        <f>IF('PART 2025'!F$8&lt;1,0,'COEF Art 14 F I'!$AD42*'PART 2025'!$F$8)</f>
        <v>1165468.1123144892</v>
      </c>
      <c r="H42" s="89">
        <f>IF('PART 2025'!F$9&lt;1,0,'COEF Art 14 F I'!$AD42*'PART 2025'!$F$9)</f>
        <v>84859.62136224602</v>
      </c>
    </row>
    <row r="43" spans="1:8" ht="12.75" customHeight="1">
      <c r="A43" s="69">
        <v>70</v>
      </c>
      <c r="B43" s="78" t="s">
        <v>27</v>
      </c>
      <c r="C43" s="72">
        <f>IF('PART 2025'!F$4&lt;1,0,'COEF Art 14 F I'!$AD43*'PART 2025'!$F$4)</f>
        <v>826954995.22831655</v>
      </c>
      <c r="D43" s="72">
        <f>IF('PART 2025'!F$5&lt;1,0,'COEF Art 14 F I'!$AD43*'PART 2025'!$F$5)</f>
        <v>133452615.30604023</v>
      </c>
      <c r="E43" s="72">
        <f>IF('PART 2025'!F$6&lt;1,0,'COEF Art 14 F I'!$AD43*'PART 2025'!$F$6)</f>
        <v>27391435.912351683</v>
      </c>
      <c r="F43" s="72">
        <f>IF('PART 2025'!F$7&lt;1,0,'COEF Art 14 F I'!$AD43*'PART 2025'!$F$7)</f>
        <v>81931351.92908147</v>
      </c>
      <c r="G43" s="72">
        <f>IF('PART 2025'!F$8&lt;1,0,'COEF Art 14 F I'!$AD43*'PART 2025'!$F$8)</f>
        <v>36596965.746600792</v>
      </c>
      <c r="H43" s="89">
        <f>IF('PART 2025'!F$9&lt;1,0,'COEF Art 14 F I'!$AD43*'PART 2025'!$F$9)</f>
        <v>2664684.3645479474</v>
      </c>
    </row>
    <row r="44" spans="1:8" ht="12.75" customHeight="1">
      <c r="A44" s="69">
        <v>50</v>
      </c>
      <c r="B44" s="78" t="s">
        <v>127</v>
      </c>
      <c r="C44" s="72">
        <f>IF('PART 2025'!F$4&lt;1,0,'COEF Art 14 F I'!$AD44*'PART 2025'!$F$4)</f>
        <v>5736359.9319054</v>
      </c>
      <c r="D44" s="72">
        <f>IF('PART 2025'!F$5&lt;1,0,'COEF Art 14 F I'!$AD44*'PART 2025'!$F$5)</f>
        <v>925724.18047755584</v>
      </c>
      <c r="E44" s="72">
        <f>IF('PART 2025'!F$6&lt;1,0,'COEF Art 14 F I'!$AD44*'PART 2025'!$F$6)</f>
        <v>190006.8762527846</v>
      </c>
      <c r="F44" s="72">
        <f>IF('PART 2025'!F$7&lt;1,0,'COEF Art 14 F I'!$AD44*'PART 2025'!$F$7)</f>
        <v>568335.31097186578</v>
      </c>
      <c r="G44" s="72">
        <f>IF('PART 2025'!F$8&lt;1,0,'COEF Art 14 F I'!$AD44*'PART 2025'!$F$8)</f>
        <v>253863.11123273888</v>
      </c>
      <c r="H44" s="89">
        <f>IF('PART 2025'!F$9&lt;1,0,'COEF Art 14 F I'!$AD44*'PART 2025'!$F$9)</f>
        <v>18484.184397177989</v>
      </c>
    </row>
    <row r="45" spans="1:8" ht="12.75" customHeight="1">
      <c r="A45" s="69">
        <v>51</v>
      </c>
      <c r="B45" s="78" t="s">
        <v>128</v>
      </c>
      <c r="C45" s="72">
        <f>IF('PART 2025'!F$4&lt;1,0,'COEF Art 14 F I'!$AD45*'PART 2025'!$F$4)</f>
        <v>46290925.588929012</v>
      </c>
      <c r="D45" s="72">
        <f>IF('PART 2025'!F$5&lt;1,0,'COEF Art 14 F I'!$AD45*'PART 2025'!$F$5)</f>
        <v>7470352.2204062296</v>
      </c>
      <c r="E45" s="72">
        <f>IF('PART 2025'!F$6&lt;1,0,'COEF Art 14 F I'!$AD45*'PART 2025'!$F$6)</f>
        <v>1533305.8375716209</v>
      </c>
      <c r="F45" s="72">
        <f>IF('PART 2025'!F$7&lt;1,0,'COEF Art 14 F I'!$AD45*'PART 2025'!$F$7)</f>
        <v>4586317.4385957168</v>
      </c>
      <c r="G45" s="72">
        <f>IF('PART 2025'!F$8&lt;1,0,'COEF Art 14 F I'!$AD45*'PART 2025'!$F$8)</f>
        <v>2048608.9665481132</v>
      </c>
      <c r="H45" s="89">
        <f>IF('PART 2025'!F$9&lt;1,0,'COEF Art 14 F I'!$AD45*'PART 2025'!$F$9)</f>
        <v>149162.53768225361</v>
      </c>
    </row>
    <row r="46" spans="1:8" ht="12.75" customHeight="1">
      <c r="A46" s="69">
        <v>52</v>
      </c>
      <c r="B46" s="78" t="s">
        <v>129</v>
      </c>
      <c r="C46" s="72">
        <f>IF('PART 2025'!F$4&lt;1,0,'COEF Art 14 F I'!$AD46*'PART 2025'!$F$4)</f>
        <v>6562749.8987074997</v>
      </c>
      <c r="D46" s="72">
        <f>IF('PART 2025'!F$5&lt;1,0,'COEF Art 14 F I'!$AD46*'PART 2025'!$F$5)</f>
        <v>1059085.6124403235</v>
      </c>
      <c r="E46" s="72">
        <f>IF('PART 2025'!F$6&lt;1,0,'COEF Art 14 F I'!$AD46*'PART 2025'!$F$6)</f>
        <v>217379.59658809198</v>
      </c>
      <c r="F46" s="72">
        <f>IF('PART 2025'!F$7&lt;1,0,'COEF Art 14 F I'!$AD46*'PART 2025'!$F$7)</f>
        <v>650210.68217272707</v>
      </c>
      <c r="G46" s="72">
        <f>IF('PART 2025'!F$8&lt;1,0,'COEF Art 14 F I'!$AD46*'PART 2025'!$F$8)</f>
        <v>290435.0715968468</v>
      </c>
      <c r="H46" s="89">
        <f>IF('PART 2025'!F$9&lt;1,0,'COEF Art 14 F I'!$AD46*'PART 2025'!$F$9)</f>
        <v>21147.048079316915</v>
      </c>
    </row>
    <row r="47" spans="1:8" ht="12.75" customHeight="1">
      <c r="A47" s="69">
        <v>53</v>
      </c>
      <c r="B47" s="78" t="s">
        <v>28</v>
      </c>
      <c r="C47" s="72">
        <f>IF('PART 2025'!F$4&lt;1,0,'COEF Art 14 F I'!$AD47*'PART 2025'!$F$4)</f>
        <v>5916091.9870392121</v>
      </c>
      <c r="D47" s="72">
        <f>IF('PART 2025'!F$5&lt;1,0,'COEF Art 14 F I'!$AD47*'PART 2025'!$F$5)</f>
        <v>954729.0392066749</v>
      </c>
      <c r="E47" s="72">
        <f>IF('PART 2025'!F$6&lt;1,0,'COEF Art 14 F I'!$AD47*'PART 2025'!$F$6)</f>
        <v>195960.18580167223</v>
      </c>
      <c r="F47" s="72">
        <f>IF('PART 2025'!F$7&lt;1,0,'COEF Art 14 F I'!$AD47*'PART 2025'!$F$7)</f>
        <v>586142.43511655985</v>
      </c>
      <c r="G47" s="72">
        <f>IF('PART 2025'!F$8&lt;1,0,'COEF Art 14 F I'!$AD47*'PART 2025'!$F$8)</f>
        <v>261817.16907536943</v>
      </c>
      <c r="H47" s="89">
        <f>IF('PART 2025'!F$9&lt;1,0,'COEF Art 14 F I'!$AD47*'PART 2025'!$F$9)</f>
        <v>19063.332234589514</v>
      </c>
    </row>
    <row r="48" spans="1:8" ht="12.75" customHeight="1">
      <c r="A48" s="69">
        <v>54</v>
      </c>
      <c r="B48" s="78" t="s">
        <v>29</v>
      </c>
      <c r="C48" s="72">
        <f>IF('PART 2025'!F$4&lt;1,0,'COEF Art 14 F I'!$AD48*'PART 2025'!$F$4)</f>
        <v>15414962.247724045</v>
      </c>
      <c r="D48" s="72">
        <f>IF('PART 2025'!F$5&lt;1,0,'COEF Art 14 F I'!$AD48*'PART 2025'!$F$5)</f>
        <v>2487640.8494692999</v>
      </c>
      <c r="E48" s="72">
        <f>IF('PART 2025'!F$6&lt;1,0,'COEF Art 14 F I'!$AD48*'PART 2025'!$F$6)</f>
        <v>510593.62714566686</v>
      </c>
      <c r="F48" s="72">
        <f>IF('PART 2025'!F$7&lt;1,0,'COEF Art 14 F I'!$AD48*'PART 2025'!$F$7)</f>
        <v>1527252.0320686696</v>
      </c>
      <c r="G48" s="72">
        <f>IF('PART 2025'!F$8&lt;1,0,'COEF Art 14 F I'!$AD48*'PART 2025'!$F$8)</f>
        <v>682190.50446553726</v>
      </c>
      <c r="H48" s="89">
        <f>IF('PART 2025'!F$9&lt;1,0,'COEF Art 14 F I'!$AD48*'PART 2025'!$F$9)</f>
        <v>49671.395805845932</v>
      </c>
    </row>
    <row r="49" spans="1:8" ht="12.75" customHeight="1">
      <c r="A49" s="69">
        <v>55</v>
      </c>
      <c r="B49" s="78" t="s">
        <v>30</v>
      </c>
      <c r="C49" s="72">
        <f>IF('PART 2025'!F$4&lt;1,0,'COEF Art 14 F I'!$AD49*'PART 2025'!$F$4)</f>
        <v>33746197.658167817</v>
      </c>
      <c r="D49" s="72">
        <f>IF('PART 2025'!F$5&lt;1,0,'COEF Art 14 F I'!$AD49*'PART 2025'!$F$5)</f>
        <v>5445904.9889089484</v>
      </c>
      <c r="E49" s="72">
        <f>IF('PART 2025'!F$6&lt;1,0,'COEF Art 14 F I'!$AD49*'PART 2025'!$F$6)</f>
        <v>1117783.6953316275</v>
      </c>
      <c r="F49" s="72">
        <f>IF('PART 2025'!F$7&lt;1,0,'COEF Art 14 F I'!$AD49*'PART 2025'!$F$7)</f>
        <v>3343436.598791365</v>
      </c>
      <c r="G49" s="72">
        <f>IF('PART 2025'!F$8&lt;1,0,'COEF Art 14 F I'!$AD49*'PART 2025'!$F$8)</f>
        <v>1493440.9331828393</v>
      </c>
      <c r="H49" s="89">
        <f>IF('PART 2025'!F$9&lt;1,0,'COEF Art 14 F I'!$AD49*'PART 2025'!$F$9)</f>
        <v>108739.8537786657</v>
      </c>
    </row>
    <row r="50" spans="1:8" ht="12.75" customHeight="1">
      <c r="A50" s="69">
        <v>58</v>
      </c>
      <c r="B50" s="78" t="s">
        <v>130</v>
      </c>
      <c r="C50" s="72">
        <f>IF('PART 2025'!F$4&lt;1,0,'COEF Art 14 F I'!$AD50*'PART 2025'!$F$4)</f>
        <v>199662814.26008591</v>
      </c>
      <c r="D50" s="72">
        <f>IF('PART 2025'!F$5&lt;1,0,'COEF Art 14 F I'!$AD50*'PART 2025'!$F$5)</f>
        <v>32221251.33304983</v>
      </c>
      <c r="E50" s="72">
        <f>IF('PART 2025'!F$6&lt;1,0,'COEF Art 14 F I'!$AD50*'PART 2025'!$F$6)</f>
        <v>6613481.03880182</v>
      </c>
      <c r="F50" s="72">
        <f>IF('PART 2025'!F$7&lt;1,0,'COEF Art 14 F I'!$AD50*'PART 2025'!$F$7)</f>
        <v>19781783.043438073</v>
      </c>
      <c r="G50" s="72">
        <f>IF('PART 2025'!F$8&lt;1,0,'COEF Art 14 F I'!$AD50*'PART 2025'!$F$8)</f>
        <v>8836095.333493758</v>
      </c>
      <c r="H50" s="89">
        <f>IF('PART 2025'!F$9&lt;1,0,'COEF Art 14 F I'!$AD50*'PART 2025'!$F$9)</f>
        <v>643370.41605704278</v>
      </c>
    </row>
    <row r="51" spans="1:8" ht="12.75" customHeight="1">
      <c r="A51" s="69">
        <v>31</v>
      </c>
      <c r="B51" s="78" t="s">
        <v>131</v>
      </c>
      <c r="C51" s="72">
        <f>IF('PART 2025'!F$4&lt;1,0,'COEF Art 14 F I'!$AD51*'PART 2025'!$F$4)</f>
        <v>402127005.27867174</v>
      </c>
      <c r="D51" s="72">
        <f>IF('PART 2025'!F$5&lt;1,0,'COEF Art 14 F I'!$AD51*'PART 2025'!$F$5)</f>
        <v>64894584.166346416</v>
      </c>
      <c r="E51" s="72">
        <f>IF('PART 2025'!F$6&lt;1,0,'COEF Art 14 F I'!$AD51*'PART 2025'!$F$6)</f>
        <v>13319752.776480326</v>
      </c>
      <c r="F51" s="72">
        <f>IF('PART 2025'!F$7&lt;1,0,'COEF Art 14 F I'!$AD51*'PART 2025'!$F$7)</f>
        <v>39841115.151106946</v>
      </c>
      <c r="G51" s="72">
        <f>IF('PART 2025'!F$8&lt;1,0,'COEF Art 14 F I'!$AD51*'PART 2025'!$F$8)</f>
        <v>17796165.840806786</v>
      </c>
      <c r="H51" s="89">
        <f>IF('PART 2025'!F$9&lt;1,0,'COEF Art 14 F I'!$AD51*'PART 2025'!$F$9)</f>
        <v>1295767.6653645721</v>
      </c>
    </row>
    <row r="52" spans="1:8" ht="12.75" customHeight="1">
      <c r="A52" s="69">
        <v>57</v>
      </c>
      <c r="B52" s="78" t="s">
        <v>31</v>
      </c>
      <c r="C52" s="72">
        <f>IF('PART 2025'!F$4&lt;1,0,'COEF Art 14 F I'!$AD52*'PART 2025'!$F$4)</f>
        <v>144440774.19269663</v>
      </c>
      <c r="D52" s="72">
        <f>IF('PART 2025'!F$5&lt;1,0,'COEF Art 14 F I'!$AD52*'PART 2025'!$F$5)</f>
        <v>23309610.781808741</v>
      </c>
      <c r="E52" s="72">
        <f>IF('PART 2025'!F$6&lt;1,0,'COEF Art 14 F I'!$AD52*'PART 2025'!$F$6)</f>
        <v>4784347.6758216629</v>
      </c>
      <c r="F52" s="72">
        <f>IF('PART 2025'!F$7&lt;1,0,'COEF Art 14 F I'!$AD52*'PART 2025'!$F$7)</f>
        <v>14310606.951498572</v>
      </c>
      <c r="G52" s="72">
        <f>IF('PART 2025'!F$8&lt;1,0,'COEF Art 14 F I'!$AD52*'PART 2025'!$F$8)</f>
        <v>6392239.1134274052</v>
      </c>
      <c r="H52" s="89">
        <f>IF('PART 2025'!F$9&lt;1,0,'COEF Art 14 F I'!$AD52*'PART 2025'!$F$9)</f>
        <v>465429.28552987834</v>
      </c>
    </row>
    <row r="53" spans="1:8" ht="12.75" customHeight="1">
      <c r="A53" s="69">
        <v>56</v>
      </c>
      <c r="B53" s="78" t="s">
        <v>32</v>
      </c>
      <c r="C53" s="72">
        <f>IF('PART 2025'!F$4&lt;1,0,'COEF Art 14 F I'!$AD53*'PART 2025'!$F$4)</f>
        <v>48879236.924589962</v>
      </c>
      <c r="D53" s="72">
        <f>IF('PART 2025'!F$5&lt;1,0,'COEF Art 14 F I'!$AD53*'PART 2025'!$F$5)</f>
        <v>7888049.5787429502</v>
      </c>
      <c r="E53" s="72">
        <f>IF('PART 2025'!F$6&lt;1,0,'COEF Art 14 F I'!$AD53*'PART 2025'!$F$6)</f>
        <v>1619039.1174732628</v>
      </c>
      <c r="F53" s="72">
        <f>IF('PART 2025'!F$7&lt;1,0,'COEF Art 14 F I'!$AD53*'PART 2025'!$F$7)</f>
        <v>4842756.8436029004</v>
      </c>
      <c r="G53" s="72">
        <f>IF('PART 2025'!F$8&lt;1,0,'COEF Art 14 F I'!$AD53*'PART 2025'!$F$8)</f>
        <v>2163154.9114173008</v>
      </c>
      <c r="H53" s="89">
        <f>IF('PART 2025'!F$9&lt;1,0,'COEF Art 14 F I'!$AD53*'PART 2025'!$F$9)</f>
        <v>157502.81349715902</v>
      </c>
    </row>
    <row r="54" spans="1:8" ht="12.75" customHeight="1">
      <c r="A54" s="69">
        <v>59</v>
      </c>
      <c r="B54" s="78" t="s">
        <v>33</v>
      </c>
      <c r="C54" s="72">
        <f>IF('PART 2025'!F$4&lt;1,0,'COEF Art 14 F I'!$AD54*'PART 2025'!$F$4)</f>
        <v>9249474.9448941387</v>
      </c>
      <c r="D54" s="72">
        <f>IF('PART 2025'!F$5&lt;1,0,'COEF Art 14 F I'!$AD54*'PART 2025'!$F$5)</f>
        <v>1492664.8109344996</v>
      </c>
      <c r="E54" s="72">
        <f>IF('PART 2025'!F$6&lt;1,0,'COEF Art 14 F I'!$AD54*'PART 2025'!$F$6)</f>
        <v>306372.65829202771</v>
      </c>
      <c r="F54" s="72">
        <f>IF('PART 2025'!F$7&lt;1,0,'COEF Art 14 F I'!$AD54*'PART 2025'!$F$7)</f>
        <v>916400.51906345121</v>
      </c>
      <c r="G54" s="72">
        <f>IF('PART 2025'!F$8&lt;1,0,'COEF Art 14 F I'!$AD54*'PART 2025'!$F$8)</f>
        <v>409336.32384538028</v>
      </c>
      <c r="H54" s="89">
        <f>IF('PART 2025'!F$9&lt;1,0,'COEF Art 14 F I'!$AD54*'PART 2025'!$F$9)</f>
        <v>29804.440880283397</v>
      </c>
    </row>
    <row r="55" spans="1:8" ht="12.75" customHeight="1">
      <c r="A55" s="69">
        <v>60</v>
      </c>
      <c r="B55" s="78" t="s">
        <v>34</v>
      </c>
      <c r="C55" s="72">
        <f>IF('PART 2025'!F$4&lt;1,0,'COEF Art 14 F I'!$AD55*'PART 2025'!$F$4)</f>
        <v>7599727.9272223823</v>
      </c>
      <c r="D55" s="72">
        <f>IF('PART 2025'!F$5&lt;1,0,'COEF Art 14 F I'!$AD55*'PART 2025'!$F$5)</f>
        <v>1226431.393914205</v>
      </c>
      <c r="E55" s="72">
        <f>IF('PART 2025'!F$6&lt;1,0,'COEF Art 14 F I'!$AD55*'PART 2025'!$F$6)</f>
        <v>251727.67764991563</v>
      </c>
      <c r="F55" s="72">
        <f>IF('PART 2025'!F$7&lt;1,0,'COEF Art 14 F I'!$AD55*'PART 2025'!$F$7)</f>
        <v>752950.26568962785</v>
      </c>
      <c r="G55" s="72">
        <f>IF('PART 2025'!F$8&lt;1,0,'COEF Art 14 F I'!$AD55*'PART 2025'!$F$8)</f>
        <v>336326.62507740705</v>
      </c>
      <c r="H55" s="89">
        <f>IF('PART 2025'!F$9&lt;1,0,'COEF Art 14 F I'!$AD55*'PART 2025'!$F$9)</f>
        <v>24488.486434375714</v>
      </c>
    </row>
    <row r="56" spans="1:8" s="24" customFormat="1" ht="16.5" customHeight="1">
      <c r="B56" s="80" t="s">
        <v>35</v>
      </c>
      <c r="C56" s="81">
        <f>SUM(C5:C55)</f>
        <v>3178409734.1299987</v>
      </c>
      <c r="D56" s="81">
        <f t="shared" ref="D56:H56" si="0">SUM(D5:D55)</f>
        <v>512926451.83999962</v>
      </c>
      <c r="E56" s="81">
        <f t="shared" si="0"/>
        <v>105279255.87000003</v>
      </c>
      <c r="F56" s="81">
        <f t="shared" si="0"/>
        <v>314903964.54999983</v>
      </c>
      <c r="G56" s="81">
        <f t="shared" si="0"/>
        <v>140660801.18000001</v>
      </c>
      <c r="H56" s="90">
        <f t="shared" si="0"/>
        <v>10241740.810000001</v>
      </c>
    </row>
    <row r="57" spans="1:8">
      <c r="C57" s="25"/>
      <c r="G57" s="26"/>
    </row>
    <row r="58" spans="1:8">
      <c r="B58" s="43"/>
      <c r="C58" s="27"/>
    </row>
    <row r="59" spans="1:8">
      <c r="B59" s="43"/>
      <c r="C59" s="28"/>
    </row>
    <row r="63" spans="1:8">
      <c r="F63" s="29"/>
    </row>
  </sheetData>
  <mergeCells count="3">
    <mergeCell ref="B1:H1"/>
    <mergeCell ref="B3:B4"/>
    <mergeCell ref="C3:H3"/>
  </mergeCells>
  <printOptions horizontalCentered="1" verticalCentered="1"/>
  <pageMargins left="0.19685039370078741" right="0.19685039370078741" top="0.39370078740157483" bottom="0.19685039370078741" header="0.11811023622047245" footer="0.15748031496062992"/>
  <pageSetup scale="98" orientation="portrait" horizontalDpi="300" verticalDpi="300" r:id="rId1"/>
  <headerFooter alignWithMargins="0">
    <oddHeader>&amp;LANEXO 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showGridLines="0" zoomScaleNormal="100" workbookViewId="0">
      <selection activeCell="A59" sqref="A59:XFD59"/>
    </sheetView>
  </sheetViews>
  <sheetFormatPr baseColWidth="10" defaultColWidth="9.7109375" defaultRowHeight="12.75"/>
  <cols>
    <col min="1" max="1" width="3" style="2" bestFit="1" customWidth="1"/>
    <col min="2" max="2" width="28.7109375" style="2" customWidth="1"/>
    <col min="3" max="3" width="15.5703125" style="2" customWidth="1"/>
    <col min="4" max="4" width="15.5703125" style="9" customWidth="1"/>
    <col min="5" max="5" width="15.5703125" style="2" customWidth="1"/>
    <col min="6" max="7" width="15.5703125" style="9" customWidth="1"/>
    <col min="8" max="11" width="15.5703125" style="2" customWidth="1"/>
    <col min="12" max="12" width="15.5703125" style="9" customWidth="1"/>
    <col min="13" max="16384" width="9.7109375" style="2"/>
  </cols>
  <sheetData>
    <row r="1" spans="1:12" s="14" customFormat="1" ht="51" customHeight="1">
      <c r="B1" s="246" t="s">
        <v>94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3" spans="1:12" ht="37.5" customHeight="1" thickBot="1">
      <c r="C3" s="248" t="s">
        <v>73</v>
      </c>
      <c r="D3" s="249"/>
      <c r="E3" s="250" t="s">
        <v>75</v>
      </c>
      <c r="F3" s="250"/>
      <c r="G3" s="214" t="s">
        <v>74</v>
      </c>
    </row>
    <row r="4" spans="1:12" ht="48" customHeight="1" thickBot="1">
      <c r="B4" s="1" t="s">
        <v>0</v>
      </c>
      <c r="C4" s="1" t="s">
        <v>136</v>
      </c>
      <c r="D4" s="187" t="s">
        <v>62</v>
      </c>
      <c r="E4" s="10" t="s">
        <v>193</v>
      </c>
      <c r="F4" s="187" t="s">
        <v>63</v>
      </c>
      <c r="G4" s="189" t="s">
        <v>185</v>
      </c>
      <c r="H4" s="17" t="s">
        <v>66</v>
      </c>
      <c r="I4" s="17" t="s">
        <v>67</v>
      </c>
      <c r="J4" s="17" t="s">
        <v>68</v>
      </c>
      <c r="K4" s="17" t="s">
        <v>186</v>
      </c>
      <c r="L4" s="193" t="s">
        <v>61</v>
      </c>
    </row>
    <row r="5" spans="1:12" s="4" customFormat="1" ht="11.25">
      <c r="B5" s="11"/>
      <c r="C5" s="8" t="s">
        <v>40</v>
      </c>
      <c r="D5" s="16" t="s">
        <v>49</v>
      </c>
      <c r="E5" s="12" t="s">
        <v>39</v>
      </c>
      <c r="F5" s="16" t="s">
        <v>50</v>
      </c>
      <c r="G5" s="52" t="s">
        <v>46</v>
      </c>
      <c r="H5" s="3">
        <f>+K5*0.35</f>
        <v>118373498.59999999</v>
      </c>
      <c r="I5" s="3">
        <f>+K5*0.35</f>
        <v>118373498.59999999</v>
      </c>
      <c r="J5" s="3">
        <f>+K5*0.3</f>
        <v>101462998.8</v>
      </c>
      <c r="K5" s="3">
        <f>+'PART 2025'!D12</f>
        <v>338209996</v>
      </c>
      <c r="L5" s="194"/>
    </row>
    <row r="6" spans="1:12" s="6" customFormat="1" ht="23.25" customHeight="1">
      <c r="B6" s="5"/>
      <c r="C6" s="5"/>
      <c r="D6" s="7"/>
      <c r="E6" s="13"/>
      <c r="F6" s="188"/>
      <c r="G6" s="190"/>
      <c r="H6" s="3" t="s">
        <v>64</v>
      </c>
      <c r="I6" s="3" t="s">
        <v>45</v>
      </c>
      <c r="J6" s="3" t="s">
        <v>65</v>
      </c>
      <c r="K6" s="8" t="s">
        <v>76</v>
      </c>
      <c r="L6" s="195" t="s">
        <v>47</v>
      </c>
    </row>
    <row r="7" spans="1:12">
      <c r="A7" s="69">
        <v>15</v>
      </c>
      <c r="B7" s="77" t="s">
        <v>1</v>
      </c>
      <c r="C7" s="92">
        <v>2974</v>
      </c>
      <c r="D7" s="148">
        <f t="shared" ref="D7:D57" si="0">+C7/$C$58</f>
        <v>5.141377508841821E-4</v>
      </c>
      <c r="E7" s="93">
        <v>3223</v>
      </c>
      <c r="F7" s="148">
        <f t="shared" ref="F7:F58" si="1">(E7/E$58)</f>
        <v>5.1092237261379987E-4</v>
      </c>
      <c r="G7" s="191">
        <f>+'COEF Art 14 F I'!AD5</f>
        <v>7.1518437246465135E-4</v>
      </c>
      <c r="H7" s="93">
        <f t="shared" ref="H7:H38" si="2">+D7*H$5</f>
        <v>60860.284334495875</v>
      </c>
      <c r="I7" s="93">
        <f t="shared" ref="I7:I38" si="3">+F7*I$5</f>
        <v>60479.668759308312</v>
      </c>
      <c r="J7" s="93">
        <f t="shared" ref="J7:J38" si="4">+G7*J$5</f>
        <v>72564.751125159673</v>
      </c>
      <c r="K7" s="93">
        <f>SUM(H7:J7)</f>
        <v>193904.70421896386</v>
      </c>
      <c r="L7" s="196">
        <f>ROUND(+K7/K$58,8)</f>
        <v>5.7333000000000004E-4</v>
      </c>
    </row>
    <row r="8" spans="1:12">
      <c r="A8" s="69">
        <v>11</v>
      </c>
      <c r="B8" s="78" t="s">
        <v>2</v>
      </c>
      <c r="C8" s="91">
        <v>3382</v>
      </c>
      <c r="D8" s="154">
        <f t="shared" si="0"/>
        <v>5.8467177992276519E-4</v>
      </c>
      <c r="E8" s="75">
        <v>4375</v>
      </c>
      <c r="F8" s="154">
        <f t="shared" si="1"/>
        <v>6.9354184926632783E-4</v>
      </c>
      <c r="G8" s="192">
        <f>+'COEF Art 14 F I'!AD6</f>
        <v>1.2719827055325075E-3</v>
      </c>
      <c r="H8" s="75">
        <f t="shared" si="2"/>
        <v>69209.644122146943</v>
      </c>
      <c r="I8" s="75">
        <f t="shared" si="3"/>
        <v>82096.975123169061</v>
      </c>
      <c r="J8" s="75">
        <f t="shared" si="4"/>
        <v>129059.17972506555</v>
      </c>
      <c r="K8" s="75">
        <f t="shared" ref="K8:K57" si="5">SUM(H8:J8)</f>
        <v>280365.79897038155</v>
      </c>
      <c r="L8" s="197">
        <f t="shared" ref="L8:L57" si="6">ROUND(+K8/K$58,8)</f>
        <v>8.2897000000000005E-4</v>
      </c>
    </row>
    <row r="9" spans="1:12">
      <c r="A9" s="69">
        <v>12</v>
      </c>
      <c r="B9" s="78" t="s">
        <v>132</v>
      </c>
      <c r="C9" s="91">
        <v>1407</v>
      </c>
      <c r="D9" s="154">
        <f t="shared" si="0"/>
        <v>2.4323867366981983E-4</v>
      </c>
      <c r="E9" s="75">
        <v>1481</v>
      </c>
      <c r="F9" s="154">
        <f t="shared" si="1"/>
        <v>2.3477382371735577E-4</v>
      </c>
      <c r="G9" s="192">
        <f>+'COEF Art 14 F I'!AD7</f>
        <v>1.5933787166950374E-3</v>
      </c>
      <c r="H9" s="75">
        <f t="shared" si="2"/>
        <v>28793.012797120275</v>
      </c>
      <c r="I9" s="75">
        <f t="shared" si="3"/>
        <v>27790.998893123058</v>
      </c>
      <c r="J9" s="75">
        <f t="shared" si="4"/>
        <v>161668.9828199741</v>
      </c>
      <c r="K9" s="75">
        <f t="shared" si="5"/>
        <v>218252.99451021745</v>
      </c>
      <c r="L9" s="197">
        <f t="shared" si="6"/>
        <v>6.4532000000000001E-4</v>
      </c>
    </row>
    <row r="10" spans="1:12" ht="13.5" customHeight="1">
      <c r="A10" s="69">
        <v>13</v>
      </c>
      <c r="B10" s="78" t="s">
        <v>3</v>
      </c>
      <c r="C10" s="91">
        <v>35289</v>
      </c>
      <c r="D10" s="154">
        <f t="shared" si="0"/>
        <v>6.1006748792709828E-3</v>
      </c>
      <c r="E10" s="75">
        <v>35029</v>
      </c>
      <c r="F10" s="154">
        <f t="shared" si="1"/>
        <v>5.552931985817188E-3</v>
      </c>
      <c r="G10" s="192">
        <f>+'COEF Art 14 F I'!AD8</f>
        <v>5.8755071757200586E-3</v>
      </c>
      <c r="H10" s="75">
        <f t="shared" si="2"/>
        <v>722158.22928043886</v>
      </c>
      <c r="I10" s="75">
        <f t="shared" si="3"/>
        <v>657319.98664902605</v>
      </c>
      <c r="J10" s="75">
        <f t="shared" si="4"/>
        <v>596146.57751947572</v>
      </c>
      <c r="K10" s="75">
        <f t="shared" si="5"/>
        <v>1975624.7934489406</v>
      </c>
      <c r="L10" s="197">
        <f t="shared" si="6"/>
        <v>5.84141E-3</v>
      </c>
    </row>
    <row r="11" spans="1:12">
      <c r="A11" s="69">
        <v>14</v>
      </c>
      <c r="B11" s="78" t="s">
        <v>133</v>
      </c>
      <c r="C11" s="91">
        <v>18030</v>
      </c>
      <c r="D11" s="154">
        <f t="shared" si="0"/>
        <v>3.1169817244256232E-3</v>
      </c>
      <c r="E11" s="75">
        <v>17078</v>
      </c>
      <c r="F11" s="154">
        <f t="shared" si="1"/>
        <v>2.7072703318332223E-3</v>
      </c>
      <c r="G11" s="192">
        <f>+'COEF Art 14 F I'!AD9</f>
        <v>5.0973562005492169E-3</v>
      </c>
      <c r="H11" s="75">
        <f t="shared" si="2"/>
        <v>368968.03179252206</v>
      </c>
      <c r="I11" s="75">
        <f t="shared" si="3"/>
        <v>320469.06083508144</v>
      </c>
      <c r="J11" s="75">
        <f t="shared" si="4"/>
        <v>517193.04605949775</v>
      </c>
      <c r="K11" s="75">
        <f t="shared" si="5"/>
        <v>1206630.1386871012</v>
      </c>
      <c r="L11" s="197">
        <f t="shared" si="6"/>
        <v>3.5677E-3</v>
      </c>
    </row>
    <row r="12" spans="1:12">
      <c r="A12" s="69">
        <v>17</v>
      </c>
      <c r="B12" s="78" t="s">
        <v>4</v>
      </c>
      <c r="C12" s="91">
        <v>656464</v>
      </c>
      <c r="D12" s="154">
        <f t="shared" si="0"/>
        <v>0.11348786970290306</v>
      </c>
      <c r="E12" s="75">
        <v>730930</v>
      </c>
      <c r="F12" s="154">
        <f t="shared" si="1"/>
        <v>0.11586983860211132</v>
      </c>
      <c r="G12" s="192">
        <f>+'COEF Art 14 F I'!AD10</f>
        <v>8.3699780594625225E-2</v>
      </c>
      <c r="H12" s="75">
        <f t="shared" si="2"/>
        <v>13433956.185393577</v>
      </c>
      <c r="I12" s="75">
        <f t="shared" si="3"/>
        <v>13715918.17754925</v>
      </c>
      <c r="J12" s="75">
        <f t="shared" si="4"/>
        <v>8492430.7380327228</v>
      </c>
      <c r="K12" s="75">
        <f t="shared" si="5"/>
        <v>35642305.100975551</v>
      </c>
      <c r="L12" s="197">
        <f t="shared" si="6"/>
        <v>0.10538512999999999</v>
      </c>
    </row>
    <row r="13" spans="1:12">
      <c r="A13" s="69">
        <v>16</v>
      </c>
      <c r="B13" s="78" t="s">
        <v>5</v>
      </c>
      <c r="C13" s="91">
        <v>14992</v>
      </c>
      <c r="D13" s="154">
        <f t="shared" si="0"/>
        <v>2.5917798121236242E-3</v>
      </c>
      <c r="E13" s="75">
        <v>14190</v>
      </c>
      <c r="F13" s="154">
        <f t="shared" si="1"/>
        <v>2.2494534493918152E-3</v>
      </c>
      <c r="G13" s="192">
        <f>+'COEF Art 14 F I'!AD11</f>
        <v>4.6662247482291931E-3</v>
      </c>
      <c r="H13" s="75">
        <f t="shared" si="2"/>
        <v>306798.04396192409</v>
      </c>
      <c r="I13" s="75">
        <f t="shared" si="3"/>
        <v>266275.67474234721</v>
      </c>
      <c r="J13" s="75">
        <f t="shared" si="4"/>
        <v>473449.15603010892</v>
      </c>
      <c r="K13" s="75">
        <f t="shared" si="5"/>
        <v>1046522.8747343803</v>
      </c>
      <c r="L13" s="197">
        <f t="shared" si="6"/>
        <v>3.0942999999999999E-3</v>
      </c>
    </row>
    <row r="14" spans="1:12">
      <c r="A14" s="69">
        <v>18</v>
      </c>
      <c r="B14" s="78" t="s">
        <v>6</v>
      </c>
      <c r="C14" s="91">
        <v>3661</v>
      </c>
      <c r="D14" s="154">
        <f t="shared" si="0"/>
        <v>6.329046086035611E-4</v>
      </c>
      <c r="E14" s="75">
        <v>3608</v>
      </c>
      <c r="F14" s="154">
        <f t="shared" si="1"/>
        <v>5.7195405534923676E-4</v>
      </c>
      <c r="G14" s="192">
        <f>+'COEF Art 14 F I'!AD12</f>
        <v>1.3017129404632665E-3</v>
      </c>
      <c r="H14" s="75">
        <f t="shared" si="2"/>
        <v>74919.132800467181</v>
      </c>
      <c r="I14" s="75">
        <f t="shared" si="3"/>
        <v>67704.202570147201</v>
      </c>
      <c r="J14" s="75">
        <f t="shared" si="4"/>
        <v>132075.69851616886</v>
      </c>
      <c r="K14" s="75">
        <f t="shared" si="5"/>
        <v>274699.03388678323</v>
      </c>
      <c r="L14" s="197">
        <f t="shared" si="6"/>
        <v>8.1220999999999995E-4</v>
      </c>
    </row>
    <row r="15" spans="1:12">
      <c r="A15" s="69">
        <v>19</v>
      </c>
      <c r="B15" s="78" t="s">
        <v>117</v>
      </c>
      <c r="C15" s="91">
        <v>122337</v>
      </c>
      <c r="D15" s="154">
        <f t="shared" si="0"/>
        <v>2.1149317427679282E-2</v>
      </c>
      <c r="E15" s="75">
        <v>137963</v>
      </c>
      <c r="F15" s="154">
        <f t="shared" si="1"/>
        <v>2.1870426091504087E-2</v>
      </c>
      <c r="G15" s="192">
        <f>+'COEF Art 14 F I'!AD13</f>
        <v>1.2711932211375673E-2</v>
      </c>
      <c r="H15" s="75">
        <f t="shared" si="2"/>
        <v>2503518.6969163488</v>
      </c>
      <c r="I15" s="75">
        <f t="shared" si="3"/>
        <v>2588878.8523240625</v>
      </c>
      <c r="J15" s="75">
        <f t="shared" si="4"/>
        <v>1289790.7627084912</v>
      </c>
      <c r="K15" s="75">
        <f t="shared" si="5"/>
        <v>6382188.3119489029</v>
      </c>
      <c r="L15" s="197">
        <f t="shared" si="6"/>
        <v>1.887049E-2</v>
      </c>
    </row>
    <row r="16" spans="1:12">
      <c r="A16" s="69">
        <v>20</v>
      </c>
      <c r="B16" s="78" t="s">
        <v>118</v>
      </c>
      <c r="C16" s="91">
        <v>104478</v>
      </c>
      <c r="D16" s="154">
        <f t="shared" si="0"/>
        <v>1.8061897759541888E-2</v>
      </c>
      <c r="E16" s="75">
        <v>133725</v>
      </c>
      <c r="F16" s="154">
        <f t="shared" si="1"/>
        <v>2.1198602009860502E-2</v>
      </c>
      <c r="G16" s="192">
        <f>+'COEF Art 14 F I'!AD14</f>
        <v>1.095929311641587E-2</v>
      </c>
      <c r="H16" s="75">
        <f t="shared" si="2"/>
        <v>2138050.0291524748</v>
      </c>
      <c r="I16" s="75">
        <f t="shared" si="3"/>
        <v>2509352.6853361791</v>
      </c>
      <c r="J16" s="75">
        <f t="shared" si="4"/>
        <v>1111962.7443197516</v>
      </c>
      <c r="K16" s="75">
        <f t="shared" si="5"/>
        <v>5759365.4588084053</v>
      </c>
      <c r="L16" s="197">
        <f t="shared" si="6"/>
        <v>1.7028959999999999E-2</v>
      </c>
    </row>
    <row r="17" spans="1:12">
      <c r="A17" s="69">
        <v>23</v>
      </c>
      <c r="B17" s="78" t="s">
        <v>119</v>
      </c>
      <c r="C17" s="91">
        <v>7340</v>
      </c>
      <c r="D17" s="154">
        <f t="shared" si="0"/>
        <v>1.2689210126058832E-3</v>
      </c>
      <c r="E17" s="75">
        <v>6849</v>
      </c>
      <c r="F17" s="154">
        <f t="shared" si="1"/>
        <v>1.0857298572857323E-3</v>
      </c>
      <c r="G17" s="192">
        <f>+'COEF Art 14 F I'!AD15</f>
        <v>3.5327360678197159E-3</v>
      </c>
      <c r="H17" s="75">
        <f t="shared" si="2"/>
        <v>150206.61970921309</v>
      </c>
      <c r="I17" s="75">
        <f t="shared" si="3"/>
        <v>128521.64174139083</v>
      </c>
      <c r="J17" s="75">
        <f t="shared" si="4"/>
        <v>358441.99540990853</v>
      </c>
      <c r="K17" s="75">
        <f t="shared" si="5"/>
        <v>637170.25686051254</v>
      </c>
      <c r="L17" s="197">
        <f t="shared" si="6"/>
        <v>1.8839499999999999E-3</v>
      </c>
    </row>
    <row r="18" spans="1:12">
      <c r="A18" s="69">
        <v>21</v>
      </c>
      <c r="B18" s="78" t="s">
        <v>7</v>
      </c>
      <c r="C18" s="91">
        <v>9930</v>
      </c>
      <c r="D18" s="154">
        <f t="shared" si="0"/>
        <v>1.7166737949831634E-3</v>
      </c>
      <c r="E18" s="75">
        <v>9095</v>
      </c>
      <c r="F18" s="154">
        <f t="shared" si="1"/>
        <v>1.4417744272176576E-3</v>
      </c>
      <c r="G18" s="192">
        <f>+'COEF Art 14 F I'!AD16</f>
        <v>4.5680335477104204E-3</v>
      </c>
      <c r="H18" s="75">
        <f t="shared" si="2"/>
        <v>203208.68306709616</v>
      </c>
      <c r="I18" s="75">
        <f t="shared" si="3"/>
        <v>170667.88314176517</v>
      </c>
      <c r="J18" s="75">
        <f t="shared" si="4"/>
        <v>463486.3823697021</v>
      </c>
      <c r="K18" s="75">
        <f t="shared" si="5"/>
        <v>837362.9485785634</v>
      </c>
      <c r="L18" s="197">
        <f t="shared" si="6"/>
        <v>2.4758699999999998E-3</v>
      </c>
    </row>
    <row r="19" spans="1:12">
      <c r="A19" s="69">
        <v>22</v>
      </c>
      <c r="B19" s="78" t="s">
        <v>120</v>
      </c>
      <c r="C19" s="91">
        <v>68747</v>
      </c>
      <c r="D19" s="154">
        <f t="shared" si="0"/>
        <v>1.1884811015479108E-2</v>
      </c>
      <c r="E19" s="75">
        <v>88290</v>
      </c>
      <c r="F19" s="154">
        <f t="shared" si="1"/>
        <v>1.3996070827822648E-2</v>
      </c>
      <c r="G19" s="192">
        <f>+'COEF Art 14 F I'!AD17</f>
        <v>8.7360923875758317E-3</v>
      </c>
      <c r="H19" s="75">
        <f t="shared" si="2"/>
        <v>1406846.6601020808</v>
      </c>
      <c r="I19" s="75">
        <f t="shared" si="3"/>
        <v>1656763.8705427651</v>
      </c>
      <c r="J19" s="75">
        <f t="shared" si="4"/>
        <v>886390.1314372957</v>
      </c>
      <c r="K19" s="75">
        <f t="shared" si="5"/>
        <v>3950000.6620821417</v>
      </c>
      <c r="L19" s="197">
        <f t="shared" si="6"/>
        <v>1.1679139999999999E-2</v>
      </c>
    </row>
    <row r="20" spans="1:12">
      <c r="A20" s="69">
        <v>25</v>
      </c>
      <c r="B20" s="78" t="s">
        <v>8</v>
      </c>
      <c r="C20" s="91">
        <v>36088</v>
      </c>
      <c r="D20" s="154">
        <f t="shared" si="0"/>
        <v>6.2388040194715413E-3</v>
      </c>
      <c r="E20" s="75">
        <v>34339</v>
      </c>
      <c r="F20" s="154">
        <f t="shared" si="1"/>
        <v>5.4435505284471846E-3</v>
      </c>
      <c r="G20" s="192">
        <f>+'COEF Art 14 F I'!AD18</f>
        <v>1.0324204620487734E-2</v>
      </c>
      <c r="H20" s="75">
        <f t="shared" si="2"/>
        <v>738509.05886458885</v>
      </c>
      <c r="I20" s="75">
        <f t="shared" si="3"/>
        <v>644372.12085817207</v>
      </c>
      <c r="J20" s="75">
        <f t="shared" si="4"/>
        <v>1047524.7610195014</v>
      </c>
      <c r="K20" s="75">
        <f t="shared" si="5"/>
        <v>2430405.9407422622</v>
      </c>
      <c r="L20" s="197">
        <f t="shared" si="6"/>
        <v>7.18609E-3</v>
      </c>
    </row>
    <row r="21" spans="1:12">
      <c r="A21" s="69">
        <v>27</v>
      </c>
      <c r="B21" s="78" t="s">
        <v>9</v>
      </c>
      <c r="C21" s="91">
        <v>1360</v>
      </c>
      <c r="D21" s="154">
        <f t="shared" si="0"/>
        <v>2.351134301286105E-4</v>
      </c>
      <c r="E21" s="75">
        <v>1151</v>
      </c>
      <c r="F21" s="154">
        <f t="shared" si="1"/>
        <v>1.8246095280126704E-4</v>
      </c>
      <c r="G21" s="192">
        <f>+'COEF Art 14 F I'!AD19</f>
        <v>1.4827200318661103E-3</v>
      </c>
      <c r="H21" s="75">
        <f t="shared" si="2"/>
        <v>27831.199292170273</v>
      </c>
      <c r="I21" s="75">
        <f t="shared" si="3"/>
        <v>21598.541340975447</v>
      </c>
      <c r="J21" s="75">
        <f t="shared" si="4"/>
        <v>150441.22081396711</v>
      </c>
      <c r="K21" s="75">
        <f t="shared" si="5"/>
        <v>199870.96144711284</v>
      </c>
      <c r="L21" s="197">
        <f t="shared" si="6"/>
        <v>5.9097000000000002E-4</v>
      </c>
    </row>
    <row r="22" spans="1:12">
      <c r="A22" s="69">
        <v>26</v>
      </c>
      <c r="B22" s="78" t="s">
        <v>121</v>
      </c>
      <c r="C22" s="91">
        <v>3256</v>
      </c>
      <c r="D22" s="154">
        <f t="shared" si="0"/>
        <v>5.6288921213143808E-4</v>
      </c>
      <c r="E22" s="75">
        <v>3560</v>
      </c>
      <c r="F22" s="154">
        <f t="shared" si="1"/>
        <v>5.6434491048871474E-4</v>
      </c>
      <c r="G22" s="192">
        <f>+'COEF Art 14 F I'!AD20</f>
        <v>1.0101213543399715E-3</v>
      </c>
      <c r="H22" s="75">
        <f t="shared" si="2"/>
        <v>66631.165364195884</v>
      </c>
      <c r="I22" s="75">
        <f t="shared" si="3"/>
        <v>66803.481471652995</v>
      </c>
      <c r="J22" s="75">
        <f t="shared" si="4"/>
        <v>102489.9417632509</v>
      </c>
      <c r="K22" s="75">
        <f t="shared" si="5"/>
        <v>235924.58859909978</v>
      </c>
      <c r="L22" s="197">
        <f t="shared" si="6"/>
        <v>6.9757E-4</v>
      </c>
    </row>
    <row r="23" spans="1:12">
      <c r="A23" s="69">
        <v>29</v>
      </c>
      <c r="B23" s="78" t="s">
        <v>10</v>
      </c>
      <c r="C23" s="91">
        <v>40903</v>
      </c>
      <c r="D23" s="154">
        <f t="shared" si="0"/>
        <v>7.0712092886401146E-3</v>
      </c>
      <c r="E23" s="75">
        <v>39684</v>
      </c>
      <c r="F23" s="154">
        <f t="shared" si="1"/>
        <v>6.2908605134365612E-3</v>
      </c>
      <c r="G23" s="192">
        <f>+'COEF Art 14 F I'!AD21</f>
        <v>9.6319207048540141E-3</v>
      </c>
      <c r="H23" s="75">
        <f t="shared" si="2"/>
        <v>837043.78282914753</v>
      </c>
      <c r="I23" s="75">
        <f t="shared" si="3"/>
        <v>744671.16818007804</v>
      </c>
      <c r="J23" s="75">
        <f t="shared" si="4"/>
        <v>977283.55891829799</v>
      </c>
      <c r="K23" s="75">
        <f t="shared" si="5"/>
        <v>2558998.5099275233</v>
      </c>
      <c r="L23" s="197">
        <f t="shared" si="6"/>
        <v>7.5662999999999998E-3</v>
      </c>
    </row>
    <row r="24" spans="1:12">
      <c r="A24" s="69">
        <v>30</v>
      </c>
      <c r="B24" s="78" t="s">
        <v>122</v>
      </c>
      <c r="C24" s="91">
        <v>397205</v>
      </c>
      <c r="D24" s="154">
        <f t="shared" si="0"/>
        <v>6.8667816186937305E-2</v>
      </c>
      <c r="E24" s="75">
        <v>477913</v>
      </c>
      <c r="F24" s="154">
        <f t="shared" si="1"/>
        <v>7.576060932763852E-2</v>
      </c>
      <c r="G24" s="192">
        <f>+'COEF Art 14 F I'!AD22</f>
        <v>4.1070664198698092E-2</v>
      </c>
      <c r="H24" s="75">
        <f t="shared" si="2"/>
        <v>8128449.6432694802</v>
      </c>
      <c r="I24" s="75">
        <f t="shared" si="3"/>
        <v>8968048.3821803648</v>
      </c>
      <c r="J24" s="75">
        <f t="shared" si="4"/>
        <v>4167152.7523077074</v>
      </c>
      <c r="K24" s="75">
        <f t="shared" si="5"/>
        <v>21263650.777757555</v>
      </c>
      <c r="L24" s="197">
        <f t="shared" si="6"/>
        <v>6.2871150000000001E-2</v>
      </c>
    </row>
    <row r="25" spans="1:12">
      <c r="A25" s="69">
        <v>32</v>
      </c>
      <c r="B25" s="78" t="s">
        <v>11</v>
      </c>
      <c r="C25" s="91">
        <v>5506</v>
      </c>
      <c r="D25" s="154">
        <f t="shared" si="0"/>
        <v>9.5186363697656574E-4</v>
      </c>
      <c r="E25" s="75">
        <v>5391</v>
      </c>
      <c r="F25" s="154">
        <f t="shared" si="1"/>
        <v>8.5460208214737678E-4</v>
      </c>
      <c r="G25" s="192">
        <f>+'COEF Art 14 F I'!AD23</f>
        <v>3.3122442653758881E-3</v>
      </c>
      <c r="H25" s="75">
        <f t="shared" si="2"/>
        <v>112675.4288990364</v>
      </c>
      <c r="I25" s="75">
        <f t="shared" si="3"/>
        <v>101162.23837462958</v>
      </c>
      <c r="J25" s="75">
        <f t="shared" si="4"/>
        <v>336070.2359231406</v>
      </c>
      <c r="K25" s="75">
        <f t="shared" si="5"/>
        <v>549907.90319680655</v>
      </c>
      <c r="L25" s="197">
        <f t="shared" si="6"/>
        <v>1.62594E-3</v>
      </c>
    </row>
    <row r="26" spans="1:12">
      <c r="A26" s="69">
        <v>33</v>
      </c>
      <c r="B26" s="78" t="s">
        <v>12</v>
      </c>
      <c r="C26" s="91">
        <v>481213</v>
      </c>
      <c r="D26" s="154">
        <f t="shared" si="0"/>
        <v>8.3190911067999293E-2</v>
      </c>
      <c r="E26" s="75">
        <v>534502</v>
      </c>
      <c r="F26" s="154">
        <f t="shared" si="1"/>
        <v>8.4731315546640179E-2</v>
      </c>
      <c r="G26" s="192">
        <f>+'COEF Art 14 F I'!AD24</f>
        <v>6.0420081680190599E-2</v>
      </c>
      <c r="H26" s="75">
        <f t="shared" si="2"/>
        <v>9847599.1948405392</v>
      </c>
      <c r="I26" s="75">
        <f t="shared" si="3"/>
        <v>10029942.26223637</v>
      </c>
      <c r="J26" s="75">
        <f t="shared" si="4"/>
        <v>6130402.6750130802</v>
      </c>
      <c r="K26" s="75">
        <f t="shared" si="5"/>
        <v>26007944.132089987</v>
      </c>
      <c r="L26" s="197">
        <f t="shared" si="6"/>
        <v>7.6898800000000003E-2</v>
      </c>
    </row>
    <row r="27" spans="1:12">
      <c r="A27" s="69">
        <v>34</v>
      </c>
      <c r="B27" s="78" t="s">
        <v>123</v>
      </c>
      <c r="C27" s="91">
        <v>14109</v>
      </c>
      <c r="D27" s="154">
        <f t="shared" si="0"/>
        <v>2.4391289600621804E-3</v>
      </c>
      <c r="E27" s="75">
        <v>12884</v>
      </c>
      <c r="F27" s="154">
        <f t="shared" si="1"/>
        <v>2.0424212996451125E-3</v>
      </c>
      <c r="G27" s="192">
        <f>+'COEF Art 14 F I'!AD25</f>
        <v>4.3110376323413574E-3</v>
      </c>
      <c r="H27" s="75">
        <f t="shared" si="2"/>
        <v>288728.22853913996</v>
      </c>
      <c r="I27" s="75">
        <f t="shared" si="3"/>
        <v>241768.55485415089</v>
      </c>
      <c r="J27" s="75">
        <f t="shared" si="4"/>
        <v>437410.806117006</v>
      </c>
      <c r="K27" s="75">
        <f t="shared" si="5"/>
        <v>967907.58951029682</v>
      </c>
      <c r="L27" s="197">
        <f t="shared" si="6"/>
        <v>2.86185E-3</v>
      </c>
    </row>
    <row r="28" spans="1:12">
      <c r="A28" s="69">
        <v>35</v>
      </c>
      <c r="B28" s="78" t="s">
        <v>13</v>
      </c>
      <c r="C28" s="91">
        <v>1808</v>
      </c>
      <c r="D28" s="154">
        <f t="shared" si="0"/>
        <v>3.1256256005332924E-4</v>
      </c>
      <c r="E28" s="75">
        <v>2795</v>
      </c>
      <c r="F28" s="154">
        <f t="shared" si="1"/>
        <v>4.4307416427414545E-4</v>
      </c>
      <c r="G28" s="192">
        <f>+'COEF Art 14 F I'!AD26</f>
        <v>8.8113043755572358E-4</v>
      </c>
      <c r="H28" s="75">
        <f t="shared" si="2"/>
        <v>36999.123764885182</v>
      </c>
      <c r="I28" s="75">
        <f t="shared" si="3"/>
        <v>52448.238964401724</v>
      </c>
      <c r="J28" s="75">
        <f t="shared" si="4"/>
        <v>89402.136528359857</v>
      </c>
      <c r="K28" s="75">
        <f t="shared" si="5"/>
        <v>178849.49925764676</v>
      </c>
      <c r="L28" s="197">
        <f t="shared" si="6"/>
        <v>5.2881E-4</v>
      </c>
    </row>
    <row r="29" spans="1:12">
      <c r="A29" s="69">
        <v>61</v>
      </c>
      <c r="B29" s="78" t="s">
        <v>14</v>
      </c>
      <c r="C29" s="91">
        <v>6282</v>
      </c>
      <c r="D29" s="154">
        <f t="shared" si="0"/>
        <v>1.0860165941675964E-3</v>
      </c>
      <c r="E29" s="75">
        <v>6040</v>
      </c>
      <c r="F29" s="154">
        <f t="shared" si="1"/>
        <v>9.5748406161568465E-4</v>
      </c>
      <c r="G29" s="192">
        <f>+'COEF Art 14 F I'!AD27</f>
        <v>2.5101069030385747E-3</v>
      </c>
      <c r="H29" s="75">
        <f t="shared" si="2"/>
        <v>128555.58378927474</v>
      </c>
      <c r="I29" s="75">
        <f t="shared" si="3"/>
        <v>113340.73822718655</v>
      </c>
      <c r="J29" s="75">
        <f t="shared" si="4"/>
        <v>254682.97369087461</v>
      </c>
      <c r="K29" s="75">
        <f t="shared" si="5"/>
        <v>496579.29570733593</v>
      </c>
      <c r="L29" s="197">
        <f t="shared" si="6"/>
        <v>1.4682600000000001E-3</v>
      </c>
    </row>
    <row r="30" spans="1:12">
      <c r="A30" s="69">
        <v>36</v>
      </c>
      <c r="B30" s="78" t="s">
        <v>15</v>
      </c>
      <c r="C30" s="91">
        <v>102149</v>
      </c>
      <c r="D30" s="154">
        <f t="shared" si="0"/>
        <v>1.7659266010446643E-2</v>
      </c>
      <c r="E30" s="75">
        <v>129221</v>
      </c>
      <c r="F30" s="154">
        <f t="shared" si="1"/>
        <v>2.048461058378152E-2</v>
      </c>
      <c r="G30" s="192">
        <f>+'COEF Art 14 F I'!AD28</f>
        <v>9.3808694044706566E-3</v>
      </c>
      <c r="H30" s="75">
        <f t="shared" si="2"/>
        <v>2090389.1003646331</v>
      </c>
      <c r="I30" s="75">
        <f t="shared" si="3"/>
        <v>2424835.022260807</v>
      </c>
      <c r="J30" s="75">
        <f t="shared" si="4"/>
        <v>951811.14112876297</v>
      </c>
      <c r="K30" s="75">
        <f t="shared" si="5"/>
        <v>5467035.263754203</v>
      </c>
      <c r="L30" s="197">
        <f t="shared" si="6"/>
        <v>1.6164620000000001E-2</v>
      </c>
    </row>
    <row r="31" spans="1:12">
      <c r="A31" s="69">
        <v>28</v>
      </c>
      <c r="B31" s="78" t="s">
        <v>16</v>
      </c>
      <c r="C31" s="91">
        <v>643143</v>
      </c>
      <c r="D31" s="154">
        <f t="shared" si="0"/>
        <v>0.11118496823029775</v>
      </c>
      <c r="E31" s="75">
        <v>661895</v>
      </c>
      <c r="F31" s="154">
        <f t="shared" si="1"/>
        <v>0.10492614453031682</v>
      </c>
      <c r="G31" s="192">
        <f>+'COEF Art 14 F I'!AD29</f>
        <v>7.4570116810059817E-2</v>
      </c>
      <c r="H31" s="75">
        <f t="shared" si="2"/>
        <v>13161353.681150194</v>
      </c>
      <c r="I31" s="75">
        <f t="shared" si="3"/>
        <v>12420474.822662855</v>
      </c>
      <c r="J31" s="75">
        <f t="shared" si="4"/>
        <v>7566107.6724149585</v>
      </c>
      <c r="K31" s="75">
        <f t="shared" si="5"/>
        <v>33147936.176228009</v>
      </c>
      <c r="L31" s="197">
        <f t="shared" si="6"/>
        <v>9.800992E-2</v>
      </c>
    </row>
    <row r="32" spans="1:12">
      <c r="A32" s="69">
        <v>37</v>
      </c>
      <c r="B32" s="78" t="s">
        <v>124</v>
      </c>
      <c r="C32" s="91">
        <v>1959</v>
      </c>
      <c r="D32" s="154">
        <f t="shared" si="0"/>
        <v>3.3866706589849116E-4</v>
      </c>
      <c r="E32" s="75">
        <v>2099</v>
      </c>
      <c r="F32" s="154">
        <f t="shared" si="1"/>
        <v>3.3274156379657649E-4</v>
      </c>
      <c r="G32" s="192">
        <f>+'COEF Art 14 F I'!AD30</f>
        <v>9.0472115206389244E-4</v>
      </c>
      <c r="H32" s="75">
        <f t="shared" si="2"/>
        <v>40089.205451001151</v>
      </c>
      <c r="I32" s="75">
        <f t="shared" si="3"/>
        <v>39387.783036235858</v>
      </c>
      <c r="J32" s="75">
        <f t="shared" si="4"/>
        <v>91795.72116619334</v>
      </c>
      <c r="K32" s="75">
        <f t="shared" si="5"/>
        <v>171272.70965343036</v>
      </c>
      <c r="L32" s="197">
        <f t="shared" si="6"/>
        <v>5.0641E-4</v>
      </c>
    </row>
    <row r="33" spans="1:12">
      <c r="A33" s="69">
        <v>39</v>
      </c>
      <c r="B33" s="78" t="s">
        <v>17</v>
      </c>
      <c r="C33" s="91">
        <v>16086</v>
      </c>
      <c r="D33" s="154">
        <f t="shared" si="0"/>
        <v>2.7809078213594327E-3</v>
      </c>
      <c r="E33" s="75">
        <v>17919</v>
      </c>
      <c r="F33" s="154">
        <f t="shared" si="1"/>
        <v>2.840588890743618E-3</v>
      </c>
      <c r="G33" s="192">
        <f>+'COEF Art 14 F I'!AD31</f>
        <v>1.7229875873310786E-3</v>
      </c>
      <c r="H33" s="75">
        <f t="shared" si="2"/>
        <v>329185.78809841984</v>
      </c>
      <c r="I33" s="75">
        <f t="shared" si="3"/>
        <v>336250.44508161518</v>
      </c>
      <c r="J33" s="75">
        <f t="shared" si="4"/>
        <v>174819.4875057881</v>
      </c>
      <c r="K33" s="75">
        <f t="shared" si="5"/>
        <v>840255.72068582312</v>
      </c>
      <c r="L33" s="197">
        <f t="shared" si="6"/>
        <v>2.4844200000000002E-3</v>
      </c>
    </row>
    <row r="34" spans="1:12">
      <c r="A34" s="69">
        <v>38</v>
      </c>
      <c r="B34" s="78" t="s">
        <v>18</v>
      </c>
      <c r="C34" s="91">
        <v>1386</v>
      </c>
      <c r="D34" s="154">
        <f t="shared" si="0"/>
        <v>2.3960824570459864E-4</v>
      </c>
      <c r="E34" s="75">
        <v>1401</v>
      </c>
      <c r="F34" s="154">
        <f t="shared" si="1"/>
        <v>2.2209191561648579E-4</v>
      </c>
      <c r="G34" s="192">
        <f>+'COEF Art 14 F I'!AD32</f>
        <v>1.2818423124963717E-3</v>
      </c>
      <c r="H34" s="75">
        <f t="shared" si="2"/>
        <v>28363.266337461762</v>
      </c>
      <c r="I34" s="75">
        <f t="shared" si="3"/>
        <v>26289.797062299396</v>
      </c>
      <c r="J34" s="75">
        <f t="shared" si="4"/>
        <v>130059.56501460858</v>
      </c>
      <c r="K34" s="75">
        <f t="shared" si="5"/>
        <v>184712.62841436974</v>
      </c>
      <c r="L34" s="197">
        <f t="shared" si="6"/>
        <v>5.4615000000000002E-4</v>
      </c>
    </row>
    <row r="35" spans="1:12">
      <c r="A35" s="69">
        <v>40</v>
      </c>
      <c r="B35" s="78" t="s">
        <v>19</v>
      </c>
      <c r="C35" s="91">
        <v>7026</v>
      </c>
      <c r="D35" s="154">
        <f t="shared" si="0"/>
        <v>1.2146374706497186E-3</v>
      </c>
      <c r="E35" s="75">
        <v>6689</v>
      </c>
      <c r="F35" s="154">
        <f t="shared" si="1"/>
        <v>1.0603660410839924E-3</v>
      </c>
      <c r="G35" s="192">
        <f>+'COEF Art 14 F I'!AD33</f>
        <v>1.5194649699687298E-3</v>
      </c>
      <c r="H35" s="75">
        <f t="shared" si="2"/>
        <v>143780.88693146201</v>
      </c>
      <c r="I35" s="75">
        <f t="shared" si="3"/>
        <v>125519.23807974352</v>
      </c>
      <c r="J35" s="75">
        <f t="shared" si="4"/>
        <v>154169.47242457926</v>
      </c>
      <c r="K35" s="75">
        <f t="shared" si="5"/>
        <v>423469.59743578482</v>
      </c>
      <c r="L35" s="197">
        <f t="shared" si="6"/>
        <v>1.25209E-3</v>
      </c>
    </row>
    <row r="36" spans="1:12">
      <c r="A36" s="69">
        <v>41</v>
      </c>
      <c r="B36" s="78" t="s">
        <v>20</v>
      </c>
      <c r="C36" s="91">
        <v>3298</v>
      </c>
      <c r="D36" s="154">
        <f t="shared" si="0"/>
        <v>5.7015006806188052E-4</v>
      </c>
      <c r="E36" s="75">
        <v>3112</v>
      </c>
      <c r="F36" s="154">
        <f t="shared" si="1"/>
        <v>4.9332622512384284E-4</v>
      </c>
      <c r="G36" s="192">
        <f>+'COEF Art 14 F I'!AD34</f>
        <v>1.5928018623363625E-3</v>
      </c>
      <c r="H36" s="75">
        <f t="shared" si="2"/>
        <v>67490.658283512908</v>
      </c>
      <c r="I36" s="75">
        <f t="shared" si="3"/>
        <v>58396.751219040489</v>
      </c>
      <c r="J36" s="75">
        <f t="shared" si="4"/>
        <v>161610.4534468721</v>
      </c>
      <c r="K36" s="75">
        <f t="shared" si="5"/>
        <v>287497.86294942547</v>
      </c>
      <c r="L36" s="197">
        <f t="shared" si="6"/>
        <v>8.5006000000000003E-4</v>
      </c>
    </row>
    <row r="37" spans="1:12">
      <c r="A37" s="69">
        <v>42</v>
      </c>
      <c r="B37" s="78" t="s">
        <v>125</v>
      </c>
      <c r="C37" s="91">
        <v>471523</v>
      </c>
      <c r="D37" s="154">
        <f t="shared" si="0"/>
        <v>8.1515727878332944E-2</v>
      </c>
      <c r="E37" s="75">
        <v>545086</v>
      </c>
      <c r="F37" s="154">
        <f t="shared" si="1"/>
        <v>8.6409131988385277E-2</v>
      </c>
      <c r="G37" s="192">
        <f>+'COEF Art 14 F I'!AD35</f>
        <v>4.6219479093091737E-2</v>
      </c>
      <c r="H37" s="75">
        <f t="shared" si="2"/>
        <v>9649301.8998838253</v>
      </c>
      <c r="I37" s="75">
        <f t="shared" si="3"/>
        <v>10228551.264454339</v>
      </c>
      <c r="J37" s="75">
        <f t="shared" si="4"/>
        <v>4689566.9517589919</v>
      </c>
      <c r="K37" s="75">
        <f t="shared" si="5"/>
        <v>24567420.116097156</v>
      </c>
      <c r="L37" s="197">
        <f t="shared" si="6"/>
        <v>7.2639540000000002E-2</v>
      </c>
    </row>
    <row r="38" spans="1:12">
      <c r="A38" s="69">
        <v>43</v>
      </c>
      <c r="B38" s="78" t="s">
        <v>21</v>
      </c>
      <c r="C38" s="91">
        <v>5351</v>
      </c>
      <c r="D38" s="154">
        <f t="shared" si="0"/>
        <v>9.2506762104279034E-4</v>
      </c>
      <c r="E38" s="75">
        <v>5161</v>
      </c>
      <c r="F38" s="154">
        <f t="shared" si="1"/>
        <v>8.1814159635737558E-4</v>
      </c>
      <c r="G38" s="192">
        <f>+'COEF Art 14 F I'!AD36</f>
        <v>4.4390504339513236E-3</v>
      </c>
      <c r="H38" s="75">
        <f t="shared" si="2"/>
        <v>109503.49074441407</v>
      </c>
      <c r="I38" s="75">
        <f t="shared" si="3"/>
        <v>96846.283111011551</v>
      </c>
      <c r="J38" s="75">
        <f t="shared" si="4"/>
        <v>450399.3688531426</v>
      </c>
      <c r="K38" s="75">
        <f t="shared" si="5"/>
        <v>656749.14270856825</v>
      </c>
      <c r="L38" s="197">
        <f t="shared" si="6"/>
        <v>1.94184E-3</v>
      </c>
    </row>
    <row r="39" spans="1:12">
      <c r="A39" s="69">
        <v>44</v>
      </c>
      <c r="B39" s="78" t="s">
        <v>22</v>
      </c>
      <c r="C39" s="91">
        <v>84666</v>
      </c>
      <c r="D39" s="154">
        <f t="shared" si="0"/>
        <v>1.4636848290638924E-2</v>
      </c>
      <c r="E39" s="75">
        <v>83408</v>
      </c>
      <c r="F39" s="154">
        <f t="shared" si="1"/>
        <v>1.3222157385967057E-2</v>
      </c>
      <c r="G39" s="192">
        <f>+'COEF Art 14 F I'!AD37</f>
        <v>1.0372453752733806E-2</v>
      </c>
      <c r="H39" s="75">
        <f t="shared" ref="H39:H57" si="7">+D39*H$5</f>
        <v>1732614.940640359</v>
      </c>
      <c r="I39" s="75">
        <f t="shared" ref="I39:I57" si="8">+F39*I$5</f>
        <v>1565153.028816751</v>
      </c>
      <c r="J39" s="75">
        <f t="shared" ref="J39:J57" si="9">+G39*J$5</f>
        <v>1052420.2626666857</v>
      </c>
      <c r="K39" s="75">
        <f t="shared" si="5"/>
        <v>4350188.2321237959</v>
      </c>
      <c r="L39" s="197">
        <f t="shared" si="6"/>
        <v>1.286239E-2</v>
      </c>
    </row>
    <row r="40" spans="1:12">
      <c r="A40" s="69">
        <v>46</v>
      </c>
      <c r="B40" s="78" t="s">
        <v>126</v>
      </c>
      <c r="C40" s="91">
        <v>5119</v>
      </c>
      <c r="D40" s="154">
        <f t="shared" si="0"/>
        <v>8.8496003590320376E-4</v>
      </c>
      <c r="E40" s="75">
        <v>4917</v>
      </c>
      <c r="F40" s="154">
        <f t="shared" si="1"/>
        <v>7.7946177664972203E-4</v>
      </c>
      <c r="G40" s="192">
        <f>+'COEF Art 14 F I'!AD38</f>
        <v>1.9403121231414066E-3</v>
      </c>
      <c r="H40" s="75">
        <f t="shared" si="7"/>
        <v>104755.81557104383</v>
      </c>
      <c r="I40" s="75">
        <f t="shared" si="8"/>
        <v>92267.617526999384</v>
      </c>
      <c r="J40" s="75">
        <f t="shared" si="9"/>
        <v>196869.88662192199</v>
      </c>
      <c r="K40" s="75">
        <f t="shared" si="5"/>
        <v>393893.31971996522</v>
      </c>
      <c r="L40" s="197">
        <f t="shared" si="6"/>
        <v>1.16464E-3</v>
      </c>
    </row>
    <row r="41" spans="1:12">
      <c r="A41" s="69">
        <v>49</v>
      </c>
      <c r="B41" s="78" t="s">
        <v>23</v>
      </c>
      <c r="C41" s="91">
        <v>1483</v>
      </c>
      <c r="D41" s="154">
        <f t="shared" si="0"/>
        <v>2.5637736535347747E-4</v>
      </c>
      <c r="E41" s="75">
        <v>1817</v>
      </c>
      <c r="F41" s="154">
        <f t="shared" si="1"/>
        <v>2.8803783774100975E-4</v>
      </c>
      <c r="G41" s="192">
        <f>+'COEF Art 14 F I'!AD39</f>
        <v>3.4539152605375873E-4</v>
      </c>
      <c r="H41" s="75">
        <f t="shared" si="7"/>
        <v>30348.285698741551</v>
      </c>
      <c r="I41" s="75">
        <f t="shared" si="8"/>
        <v>34096.046582582443</v>
      </c>
      <c r="J41" s="75">
        <f t="shared" si="9"/>
        <v>35044.459993522687</v>
      </c>
      <c r="K41" s="75">
        <f t="shared" si="5"/>
        <v>99488.792274846681</v>
      </c>
      <c r="L41" s="197">
        <f t="shared" si="6"/>
        <v>2.9416000000000002E-4</v>
      </c>
    </row>
    <row r="42" spans="1:12">
      <c r="A42" s="69">
        <v>48</v>
      </c>
      <c r="B42" s="78" t="s">
        <v>24</v>
      </c>
      <c r="C42" s="91">
        <v>7652</v>
      </c>
      <c r="D42" s="154">
        <f t="shared" si="0"/>
        <v>1.322858799517741E-3</v>
      </c>
      <c r="E42" s="75">
        <v>8084</v>
      </c>
      <c r="F42" s="154">
        <f t="shared" si="1"/>
        <v>1.2815068135929131E-3</v>
      </c>
      <c r="G42" s="192">
        <f>+'COEF Art 14 F I'!AD40</f>
        <v>2.7553498877107537E-3</v>
      </c>
      <c r="H42" s="75">
        <f t="shared" si="7"/>
        <v>156591.42425271097</v>
      </c>
      <c r="I42" s="75">
        <f t="shared" si="8"/>
        <v>151696.44500473115</v>
      </c>
      <c r="J42" s="75">
        <f t="shared" si="9"/>
        <v>279566.06235037633</v>
      </c>
      <c r="K42" s="75">
        <f t="shared" si="5"/>
        <v>587853.93160781846</v>
      </c>
      <c r="L42" s="197">
        <f t="shared" si="6"/>
        <v>1.7381300000000001E-3</v>
      </c>
    </row>
    <row r="43" spans="1:12">
      <c r="A43" s="69">
        <v>47</v>
      </c>
      <c r="B43" s="78" t="s">
        <v>25</v>
      </c>
      <c r="C43" s="91">
        <v>6048</v>
      </c>
      <c r="D43" s="154">
        <f t="shared" si="0"/>
        <v>1.0455632539837032E-3</v>
      </c>
      <c r="E43" s="75">
        <v>6599</v>
      </c>
      <c r="F43" s="154">
        <f t="shared" si="1"/>
        <v>1.0460988944705138E-3</v>
      </c>
      <c r="G43" s="192">
        <f>+'COEF Art 14 F I'!AD41</f>
        <v>3.5841015467024374E-3</v>
      </c>
      <c r="H43" s="75">
        <f t="shared" si="7"/>
        <v>123766.98038165133</v>
      </c>
      <c r="I43" s="75">
        <f t="shared" si="8"/>
        <v>123830.3860200669</v>
      </c>
      <c r="J43" s="75">
        <f t="shared" si="9"/>
        <v>363653.69093214755</v>
      </c>
      <c r="K43" s="75">
        <f t="shared" si="5"/>
        <v>611251.05733386579</v>
      </c>
      <c r="L43" s="197">
        <f t="shared" si="6"/>
        <v>1.8073099999999999E-3</v>
      </c>
    </row>
    <row r="44" spans="1:12">
      <c r="A44" s="69">
        <v>45</v>
      </c>
      <c r="B44" s="78" t="s">
        <v>26</v>
      </c>
      <c r="C44" s="91">
        <v>67428</v>
      </c>
      <c r="D44" s="154">
        <f t="shared" si="0"/>
        <v>1.1656785563758786E-2</v>
      </c>
      <c r="E44" s="75">
        <v>72063</v>
      </c>
      <c r="F44" s="154">
        <f t="shared" si="1"/>
        <v>1.142370429341243E-2</v>
      </c>
      <c r="G44" s="192">
        <f>+'COEF Art 14 F I'!AD42</f>
        <v>8.2856638277146559E-3</v>
      </c>
      <c r="H44" s="75">
        <f t="shared" si="7"/>
        <v>1379854.4896121006</v>
      </c>
      <c r="I44" s="75">
        <f t="shared" si="8"/>
        <v>1352263.8441830701</v>
      </c>
      <c r="J44" s="75">
        <f t="shared" si="9"/>
        <v>840688.29900861555</v>
      </c>
      <c r="K44" s="75">
        <f t="shared" si="5"/>
        <v>3572806.6328037865</v>
      </c>
      <c r="L44" s="197">
        <f t="shared" si="6"/>
        <v>1.056387E-2</v>
      </c>
    </row>
    <row r="45" spans="1:12">
      <c r="A45" s="69">
        <v>70</v>
      </c>
      <c r="B45" s="78" t="s">
        <v>27</v>
      </c>
      <c r="C45" s="91">
        <v>1142994</v>
      </c>
      <c r="D45" s="154">
        <f t="shared" si="0"/>
        <v>0.19759797055619194</v>
      </c>
      <c r="E45" s="75">
        <v>1168978</v>
      </c>
      <c r="F45" s="154">
        <f t="shared" si="1"/>
        <v>0.18531089459923505</v>
      </c>
      <c r="G45" s="192">
        <f>+'COEF Art 14 F I'!AD43</f>
        <v>0.26017885181649569</v>
      </c>
      <c r="H45" s="75">
        <f t="shared" si="7"/>
        <v>23390363.090996228</v>
      </c>
      <c r="I45" s="75">
        <f t="shared" si="8"/>
        <v>21935898.922407296</v>
      </c>
      <c r="J45" s="75">
        <f t="shared" si="9"/>
        <v>26398526.529642481</v>
      </c>
      <c r="K45" s="75">
        <f t="shared" si="5"/>
        <v>71724788.543045998</v>
      </c>
      <c r="L45" s="197">
        <f t="shared" si="6"/>
        <v>0.21207176</v>
      </c>
    </row>
    <row r="46" spans="1:12">
      <c r="A46" s="69">
        <v>50</v>
      </c>
      <c r="B46" s="78" t="s">
        <v>127</v>
      </c>
      <c r="C46" s="91">
        <v>906</v>
      </c>
      <c r="D46" s="154">
        <f t="shared" si="0"/>
        <v>1.5662703507097141E-4</v>
      </c>
      <c r="E46" s="75">
        <v>835</v>
      </c>
      <c r="F46" s="154">
        <f t="shared" si="1"/>
        <v>1.3236741580283058E-4</v>
      </c>
      <c r="G46" s="192">
        <f>+'COEF Art 14 F I'!AD44</f>
        <v>1.8047893165906025E-3</v>
      </c>
      <c r="H46" s="75">
        <f t="shared" si="7"/>
        <v>18540.490116695786</v>
      </c>
      <c r="I46" s="75">
        <f t="shared" si="8"/>
        <v>15668.794109221983</v>
      </c>
      <c r="J46" s="75">
        <f t="shared" si="9"/>
        <v>183119.33626348511</v>
      </c>
      <c r="K46" s="75">
        <f t="shared" si="5"/>
        <v>217328.62048940288</v>
      </c>
      <c r="L46" s="197">
        <f t="shared" si="6"/>
        <v>6.4258000000000002E-4</v>
      </c>
    </row>
    <row r="47" spans="1:12">
      <c r="A47" s="69">
        <v>51</v>
      </c>
      <c r="B47" s="78" t="s">
        <v>128</v>
      </c>
      <c r="C47" s="91">
        <v>147624</v>
      </c>
      <c r="D47" s="154">
        <f t="shared" si="0"/>
        <v>2.5520871330372057E-2</v>
      </c>
      <c r="E47" s="75">
        <v>192100</v>
      </c>
      <c r="F47" s="154">
        <f t="shared" si="1"/>
        <v>3.0452431827214074E-2</v>
      </c>
      <c r="G47" s="192">
        <f>+'COEF Art 14 F I'!AD45</f>
        <v>1.4564178146024922E-2</v>
      </c>
      <c r="H47" s="75">
        <f t="shared" si="7"/>
        <v>3020994.8266965766</v>
      </c>
      <c r="I47" s="75">
        <f t="shared" si="8"/>
        <v>3604760.8962653205</v>
      </c>
      <c r="J47" s="75">
        <f t="shared" si="9"/>
        <v>1477725.1897531128</v>
      </c>
      <c r="K47" s="75">
        <f t="shared" si="5"/>
        <v>8103480.9127150103</v>
      </c>
      <c r="L47" s="197">
        <f t="shared" si="6"/>
        <v>2.3959910000000001E-2</v>
      </c>
    </row>
    <row r="48" spans="1:12">
      <c r="A48" s="69">
        <v>52</v>
      </c>
      <c r="B48" s="78" t="s">
        <v>129</v>
      </c>
      <c r="C48" s="91">
        <v>5389</v>
      </c>
      <c r="D48" s="154">
        <f t="shared" si="0"/>
        <v>9.3163696688461914E-4</v>
      </c>
      <c r="E48" s="75">
        <v>6193</v>
      </c>
      <c r="F48" s="154">
        <f t="shared" si="1"/>
        <v>9.8173821085859839E-4</v>
      </c>
      <c r="G48" s="192">
        <f>+'COEF Art 14 F I'!AD46</f>
        <v>2.0647903976118011E-3</v>
      </c>
      <c r="H48" s="75">
        <f t="shared" si="7"/>
        <v>110281.1271952247</v>
      </c>
      <c r="I48" s="75">
        <f t="shared" si="8"/>
        <v>116211.7867286368</v>
      </c>
      <c r="J48" s="75">
        <f t="shared" si="9"/>
        <v>209499.82563513768</v>
      </c>
      <c r="K48" s="75">
        <f t="shared" si="5"/>
        <v>435992.73955899919</v>
      </c>
      <c r="L48" s="197">
        <f t="shared" si="6"/>
        <v>1.2891199999999999E-3</v>
      </c>
    </row>
    <row r="49" spans="1:12">
      <c r="A49" s="69">
        <v>53</v>
      </c>
      <c r="B49" s="78" t="s">
        <v>28</v>
      </c>
      <c r="C49" s="91">
        <v>2377</v>
      </c>
      <c r="D49" s="154">
        <f t="shared" si="0"/>
        <v>4.1092987015860824E-4</v>
      </c>
      <c r="E49" s="75">
        <v>2187</v>
      </c>
      <c r="F49" s="154">
        <f t="shared" si="1"/>
        <v>3.4669166270753348E-4</v>
      </c>
      <c r="G49" s="192">
        <f>+'COEF Art 14 F I'!AD47</f>
        <v>1.8613371094078205E-3</v>
      </c>
      <c r="H49" s="75">
        <f t="shared" si="7"/>
        <v>48643.206409918188</v>
      </c>
      <c r="I49" s="75">
        <f t="shared" si="8"/>
        <v>41039.105050141887</v>
      </c>
      <c r="J49" s="75">
        <f t="shared" si="9"/>
        <v>188856.84489824116</v>
      </c>
      <c r="K49" s="75">
        <f t="shared" si="5"/>
        <v>278539.15635830123</v>
      </c>
      <c r="L49" s="197">
        <f t="shared" si="6"/>
        <v>8.2357000000000003E-4</v>
      </c>
    </row>
    <row r="50" spans="1:12">
      <c r="A50" s="69">
        <v>54</v>
      </c>
      <c r="B50" s="78" t="s">
        <v>29</v>
      </c>
      <c r="C50" s="91">
        <v>34709</v>
      </c>
      <c r="D50" s="154">
        <f t="shared" si="0"/>
        <v>6.0004059164220159E-3</v>
      </c>
      <c r="E50" s="75">
        <v>33932</v>
      </c>
      <c r="F50" s="154">
        <f t="shared" si="1"/>
        <v>5.3790313209840079E-3</v>
      </c>
      <c r="G50" s="192">
        <f>+'COEF Art 14 F I'!AD48</f>
        <v>4.8498977593093295E-3</v>
      </c>
      <c r="H50" s="75">
        <f t="shared" si="7"/>
        <v>710289.0413470132</v>
      </c>
      <c r="I50" s="75">
        <f t="shared" si="8"/>
        <v>636734.75654385658</v>
      </c>
      <c r="J50" s="75">
        <f t="shared" si="9"/>
        <v>492085.17053292517</v>
      </c>
      <c r="K50" s="75">
        <f t="shared" si="5"/>
        <v>1839108.968423795</v>
      </c>
      <c r="L50" s="197">
        <f t="shared" si="6"/>
        <v>5.4377699999999998E-3</v>
      </c>
    </row>
    <row r="51" spans="1:12">
      <c r="A51" s="69">
        <v>55</v>
      </c>
      <c r="B51" s="78" t="s">
        <v>30</v>
      </c>
      <c r="C51" s="91">
        <v>86766</v>
      </c>
      <c r="D51" s="154">
        <f t="shared" si="0"/>
        <v>1.4999891087161044E-2</v>
      </c>
      <c r="E51" s="75">
        <v>110081</v>
      </c>
      <c r="F51" s="154">
        <f t="shared" si="1"/>
        <v>1.7450464070648375E-2</v>
      </c>
      <c r="G51" s="192">
        <f>+'COEF Art 14 F I'!AD49</f>
        <v>1.0617321390567945E-2</v>
      </c>
      <c r="H51" s="75">
        <f t="shared" si="7"/>
        <v>1775589.5866062101</v>
      </c>
      <c r="I51" s="75">
        <f t="shared" si="8"/>
        <v>2065672.4842362455</v>
      </c>
      <c r="J51" s="75">
        <f t="shared" si="9"/>
        <v>1077265.2675104097</v>
      </c>
      <c r="K51" s="75">
        <f t="shared" si="5"/>
        <v>4918527.3383528655</v>
      </c>
      <c r="L51" s="197">
        <f t="shared" si="6"/>
        <v>1.454282E-2</v>
      </c>
    </row>
    <row r="52" spans="1:12">
      <c r="A52" s="69">
        <v>58</v>
      </c>
      <c r="B52" s="78" t="s">
        <v>130</v>
      </c>
      <c r="C52" s="91">
        <v>412199</v>
      </c>
      <c r="D52" s="154">
        <f t="shared" si="0"/>
        <v>7.125994175410523E-2</v>
      </c>
      <c r="E52" s="75">
        <v>422404</v>
      </c>
      <c r="F52" s="154">
        <f t="shared" si="1"/>
        <v>6.6961108867998609E-2</v>
      </c>
      <c r="G52" s="192">
        <f>+'COEF Art 14 F I'!AD50</f>
        <v>6.2818462993015606E-2</v>
      </c>
      <c r="H52" s="75">
        <f t="shared" si="7"/>
        <v>8435288.6154656559</v>
      </c>
      <c r="I52" s="75">
        <f t="shared" si="8"/>
        <v>7926420.7268404802</v>
      </c>
      <c r="J52" s="75">
        <f t="shared" si="9"/>
        <v>6373749.6352781868</v>
      </c>
      <c r="K52" s="75">
        <f t="shared" si="5"/>
        <v>22735458.977584325</v>
      </c>
      <c r="L52" s="197">
        <f t="shared" si="6"/>
        <v>6.7222909999999997E-2</v>
      </c>
    </row>
    <row r="53" spans="1:12">
      <c r="A53" s="69">
        <v>31</v>
      </c>
      <c r="B53" s="78" t="s">
        <v>131</v>
      </c>
      <c r="C53" s="91">
        <v>132169</v>
      </c>
      <c r="D53" s="154">
        <f t="shared" si="0"/>
        <v>2.2849049225491413E-2</v>
      </c>
      <c r="E53" s="75">
        <v>126240</v>
      </c>
      <c r="F53" s="154">
        <f t="shared" si="1"/>
        <v>2.0012050983172852E-2</v>
      </c>
      <c r="G53" s="192">
        <f>+'COEF Art 14 F I'!AD51</f>
        <v>0.12651830283572385</v>
      </c>
      <c r="H53" s="75">
        <f t="shared" si="7"/>
        <v>2704721.8965050387</v>
      </c>
      <c r="I53" s="75">
        <f t="shared" si="8"/>
        <v>2368896.4890397401</v>
      </c>
      <c r="J53" s="75">
        <f t="shared" si="9"/>
        <v>12836926.408799086</v>
      </c>
      <c r="K53" s="75">
        <f t="shared" si="5"/>
        <v>17910544.794343866</v>
      </c>
      <c r="L53" s="197">
        <f t="shared" si="6"/>
        <v>5.2956879999999998E-2</v>
      </c>
    </row>
    <row r="54" spans="1:12">
      <c r="A54" s="69">
        <v>57</v>
      </c>
      <c r="B54" s="78" t="s">
        <v>31</v>
      </c>
      <c r="C54" s="91">
        <v>306322</v>
      </c>
      <c r="D54" s="154">
        <f t="shared" si="0"/>
        <v>5.2956188341070756E-2</v>
      </c>
      <c r="E54" s="75">
        <v>337111</v>
      </c>
      <c r="F54" s="154">
        <f t="shared" si="1"/>
        <v>5.3440134022404807E-2</v>
      </c>
      <c r="G54" s="192">
        <f>+'COEF Art 14 F I'!AD52</f>
        <v>4.5444353080624215E-2</v>
      </c>
      <c r="H54" s="75">
        <f t="shared" si="7"/>
        <v>6268609.2864530748</v>
      </c>
      <c r="I54" s="75">
        <f t="shared" si="8"/>
        <v>6325895.6298849471</v>
      </c>
      <c r="J54" s="75">
        <f t="shared" si="9"/>
        <v>4610920.3420861512</v>
      </c>
      <c r="K54" s="75">
        <f t="shared" si="5"/>
        <v>17205425.258424174</v>
      </c>
      <c r="L54" s="197">
        <f t="shared" si="6"/>
        <v>5.0872019999999997E-2</v>
      </c>
    </row>
    <row r="55" spans="1:12">
      <c r="A55" s="69">
        <v>56</v>
      </c>
      <c r="B55" s="78" t="s">
        <v>32</v>
      </c>
      <c r="C55" s="91">
        <v>46784</v>
      </c>
      <c r="D55" s="154">
        <f t="shared" si="0"/>
        <v>8.0879019964242016E-3</v>
      </c>
      <c r="E55" s="75">
        <v>49790</v>
      </c>
      <c r="F55" s="154">
        <f t="shared" si="1"/>
        <v>7.8929025542789633E-3</v>
      </c>
      <c r="G55" s="192">
        <f>+'COEF Art 14 F I'!AD53</f>
        <v>1.5378519767203421E-2</v>
      </c>
      <c r="H55" s="75">
        <f t="shared" si="7"/>
        <v>957393.25565065735</v>
      </c>
      <c r="I55" s="75">
        <f t="shared" si="8"/>
        <v>934310.48945887724</v>
      </c>
      <c r="J55" s="75">
        <f t="shared" si="9"/>
        <v>1560350.7326855368</v>
      </c>
      <c r="K55" s="75">
        <f t="shared" si="5"/>
        <v>3452054.4777950714</v>
      </c>
      <c r="L55" s="197">
        <f t="shared" si="6"/>
        <v>1.020684E-2</v>
      </c>
    </row>
    <row r="56" spans="1:12">
      <c r="A56" s="69">
        <v>59</v>
      </c>
      <c r="B56" s="78" t="s">
        <v>33</v>
      </c>
      <c r="C56" s="91">
        <v>1552</v>
      </c>
      <c r="D56" s="154">
        <f t="shared" si="0"/>
        <v>2.6830591438206137E-4</v>
      </c>
      <c r="E56" s="75">
        <v>1447</v>
      </c>
      <c r="F56" s="154">
        <f t="shared" si="1"/>
        <v>2.2938401277448604E-4</v>
      </c>
      <c r="G56" s="192">
        <f>+'COEF Art 14 F I'!AD54</f>
        <v>2.910095210687468E-3</v>
      </c>
      <c r="H56" s="75">
        <f t="shared" si="7"/>
        <v>31760.309780476658</v>
      </c>
      <c r="I56" s="75">
        <f t="shared" si="8"/>
        <v>27152.988115023003</v>
      </c>
      <c r="J56" s="75">
        <f t="shared" si="9"/>
        <v>295266.9868698683</v>
      </c>
      <c r="K56" s="75">
        <f t="shared" si="5"/>
        <v>354180.28476536798</v>
      </c>
      <c r="L56" s="197">
        <f t="shared" si="6"/>
        <v>1.04722E-3</v>
      </c>
    </row>
    <row r="57" spans="1:12">
      <c r="A57" s="69">
        <v>60</v>
      </c>
      <c r="B57" s="78" t="s">
        <v>34</v>
      </c>
      <c r="C57" s="91">
        <v>3573</v>
      </c>
      <c r="D57" s="154">
        <f t="shared" si="0"/>
        <v>6.1769138665406279E-4</v>
      </c>
      <c r="E57" s="75">
        <v>3335</v>
      </c>
      <c r="F57" s="154">
        <f t="shared" si="1"/>
        <v>5.2867704395501787E-4</v>
      </c>
      <c r="G57" s="192">
        <f>+'COEF Art 14 F I'!AD55</f>
        <v>2.391047272985588E-3</v>
      </c>
      <c r="H57" s="75">
        <f t="shared" si="7"/>
        <v>73118.290493326756</v>
      </c>
      <c r="I57" s="75">
        <f t="shared" si="8"/>
        <v>62581.351322461443</v>
      </c>
      <c r="J57" s="75">
        <f t="shared" si="9"/>
        <v>242602.82658967999</v>
      </c>
      <c r="K57" s="75">
        <f t="shared" si="5"/>
        <v>378302.46840546816</v>
      </c>
      <c r="L57" s="197">
        <f t="shared" si="6"/>
        <v>1.1185399999999999E-3</v>
      </c>
    </row>
    <row r="58" spans="1:12">
      <c r="B58" s="80" t="s">
        <v>35</v>
      </c>
      <c r="C58" s="94">
        <f>SUM(C7:C57)</f>
        <v>5784442</v>
      </c>
      <c r="D58" s="161">
        <f>SUM(D7:D57)</f>
        <v>1.0000000000000002</v>
      </c>
      <c r="E58" s="95">
        <f>SUM(E7:E57)</f>
        <v>6308199</v>
      </c>
      <c r="F58" s="161">
        <f t="shared" si="1"/>
        <v>1</v>
      </c>
      <c r="G58" s="161">
        <f t="shared" ref="G58:L58" si="10">SUM(G7:G57)</f>
        <v>0.99999999999999978</v>
      </c>
      <c r="H58" s="95">
        <f t="shared" si="10"/>
        <v>118373498.59999996</v>
      </c>
      <c r="I58" s="95">
        <f t="shared" si="10"/>
        <v>118373498.59999996</v>
      </c>
      <c r="J58" s="95">
        <f t="shared" si="10"/>
        <v>101462998.79999997</v>
      </c>
      <c r="K58" s="95">
        <f t="shared" si="10"/>
        <v>338209995.99999988</v>
      </c>
      <c r="L58" s="198">
        <f t="shared" si="10"/>
        <v>1.0000000099999999</v>
      </c>
    </row>
    <row r="59" spans="1:12" ht="15.75" customHeight="1">
      <c r="B59" s="2" t="s">
        <v>55</v>
      </c>
    </row>
    <row r="60" spans="1:12">
      <c r="B60" s="2" t="s">
        <v>137</v>
      </c>
    </row>
    <row r="61" spans="1:12">
      <c r="B61" s="2" t="s">
        <v>207</v>
      </c>
    </row>
  </sheetData>
  <mergeCells count="3">
    <mergeCell ref="B1:L1"/>
    <mergeCell ref="C3:D3"/>
    <mergeCell ref="E3:F3"/>
  </mergeCells>
  <printOptions horizontalCentered="1"/>
  <pageMargins left="0.19685039370078741" right="0.19685039370078741" top="0.35433070866141736" bottom="0.15748031496062992" header="0.15748031496062992" footer="0.15748031496062992"/>
  <pageSetup scale="70" orientation="landscape" r:id="rId1"/>
  <headerFooter alignWithMargins="0">
    <oddHeader>&amp;LANEXO I&amp;CArtículo 14 Fracción II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3"/>
  <sheetViews>
    <sheetView showGridLines="0" zoomScaleNormal="100" workbookViewId="0">
      <selection activeCell="J2" sqref="J2"/>
    </sheetView>
  </sheetViews>
  <sheetFormatPr baseColWidth="10" defaultColWidth="11.42578125" defaultRowHeight="12.75"/>
  <cols>
    <col min="1" max="1" width="3" style="30" bestFit="1" customWidth="1"/>
    <col min="2" max="2" width="26.42578125" style="30" customWidth="1"/>
    <col min="3" max="16" width="15" style="30" customWidth="1"/>
    <col min="17" max="17" width="12.85546875" style="30" customWidth="1"/>
    <col min="18" max="18" width="11.42578125" style="30" customWidth="1"/>
    <col min="19" max="19" width="21.28515625" style="30" customWidth="1"/>
    <col min="20" max="20" width="16.7109375" style="30" bestFit="1" customWidth="1"/>
    <col min="21" max="22" width="15.28515625" style="30" bestFit="1" customWidth="1"/>
    <col min="23" max="23" width="14.28515625" style="30" bestFit="1" customWidth="1"/>
    <col min="24" max="24" width="13.28515625" style="30" bestFit="1" customWidth="1"/>
    <col min="25" max="25" width="12.5703125" style="30" bestFit="1" customWidth="1"/>
    <col min="26" max="26" width="14.28515625" style="30" bestFit="1" customWidth="1"/>
    <col min="27" max="16384" width="11.42578125" style="30"/>
  </cols>
  <sheetData>
    <row r="1" spans="1:27" ht="38.25" customHeight="1">
      <c r="B1" s="33"/>
      <c r="C1" s="251" t="s">
        <v>114</v>
      </c>
      <c r="D1" s="251"/>
      <c r="E1" s="251"/>
      <c r="F1" s="251"/>
      <c r="G1" s="251" t="s">
        <v>113</v>
      </c>
      <c r="H1" s="251"/>
      <c r="I1" s="251"/>
      <c r="J1" s="251"/>
      <c r="K1" s="107" t="s">
        <v>187</v>
      </c>
      <c r="L1" s="108"/>
      <c r="M1" s="108"/>
      <c r="N1" s="108"/>
      <c r="O1" s="108"/>
      <c r="P1" s="108"/>
    </row>
    <row r="2" spans="1:27" ht="68.25" customHeight="1">
      <c r="B2" s="105" t="s">
        <v>0</v>
      </c>
      <c r="C2" s="106" t="s">
        <v>181</v>
      </c>
      <c r="D2" s="106" t="s">
        <v>182</v>
      </c>
      <c r="E2" s="106" t="s">
        <v>112</v>
      </c>
      <c r="F2" s="106" t="s">
        <v>200</v>
      </c>
      <c r="G2" s="106" t="s">
        <v>184</v>
      </c>
      <c r="H2" s="106" t="s">
        <v>201</v>
      </c>
      <c r="I2" s="106" t="s">
        <v>111</v>
      </c>
      <c r="J2" s="106" t="s">
        <v>202</v>
      </c>
      <c r="K2" s="106" t="s">
        <v>199</v>
      </c>
      <c r="L2" s="106" t="s">
        <v>203</v>
      </c>
      <c r="M2" s="106" t="s">
        <v>204</v>
      </c>
      <c r="N2" s="106" t="s">
        <v>110</v>
      </c>
      <c r="O2" s="106" t="s">
        <v>186</v>
      </c>
      <c r="P2" s="106" t="s">
        <v>61</v>
      </c>
    </row>
    <row r="3" spans="1:27" ht="21" customHeight="1">
      <c r="B3" s="33"/>
      <c r="C3" s="35" t="s">
        <v>109</v>
      </c>
      <c r="D3" s="35" t="s">
        <v>108</v>
      </c>
      <c r="E3" s="35" t="s">
        <v>107</v>
      </c>
      <c r="F3" s="35" t="s">
        <v>106</v>
      </c>
      <c r="G3" s="35" t="s">
        <v>105</v>
      </c>
      <c r="H3" s="35" t="s">
        <v>104</v>
      </c>
      <c r="I3" s="35"/>
      <c r="J3" s="35" t="s">
        <v>103</v>
      </c>
      <c r="K3" s="35" t="s">
        <v>102</v>
      </c>
      <c r="L3" s="55">
        <f>L4*O3</f>
        <v>257451942</v>
      </c>
      <c r="M3" s="55">
        <f>O3*M4</f>
        <v>154471165.19999999</v>
      </c>
      <c r="N3" s="55">
        <f>O3*N4</f>
        <v>102980776.80000001</v>
      </c>
      <c r="O3" s="55">
        <f>+'PART 2025'!D11</f>
        <v>514903884</v>
      </c>
      <c r="P3" s="56"/>
    </row>
    <row r="4" spans="1:27">
      <c r="G4" s="34"/>
      <c r="H4" s="33"/>
      <c r="I4" s="33"/>
      <c r="J4" s="33"/>
      <c r="L4" s="57">
        <v>0.5</v>
      </c>
      <c r="M4" s="57">
        <v>0.3</v>
      </c>
      <c r="N4" s="57">
        <v>0.2</v>
      </c>
      <c r="O4" s="58" t="s">
        <v>101</v>
      </c>
      <c r="P4" s="58"/>
    </row>
    <row r="5" spans="1:27">
      <c r="A5" s="69">
        <v>15</v>
      </c>
      <c r="B5" s="97" t="s">
        <v>1</v>
      </c>
      <c r="C5" s="98">
        <v>741807</v>
      </c>
      <c r="D5" s="98">
        <f>+VLOOKUP(A5,'COEF Art 14 F I'!A5:D55,4,FALSE)</f>
        <v>256285.3</v>
      </c>
      <c r="E5" s="199">
        <f t="shared" ref="E5:E36" si="0">IFERROR(D5/C5,0)</f>
        <v>0.34548784252507725</v>
      </c>
      <c r="F5" s="202">
        <f t="shared" ref="F5:F36" si="1">IFERROR(E5/$E$56,0)</f>
        <v>2.1640544171010564E-2</v>
      </c>
      <c r="G5" s="98">
        <v>215240</v>
      </c>
      <c r="H5" s="205">
        <f t="shared" ref="H5:H36" si="2">IFERROR((D5/G5)-1,0)</f>
        <v>0.1906955026946664</v>
      </c>
      <c r="I5" s="206">
        <f t="shared" ref="I5:I36" si="3">IF(H5&lt;0,0,H5)</f>
        <v>0.1906955026946664</v>
      </c>
      <c r="J5" s="205">
        <f t="shared" ref="J5:J36" si="4">IFERROR(I5/$I$56,0)</f>
        <v>2.2982280204510378E-2</v>
      </c>
      <c r="K5" s="205">
        <f t="shared" ref="K5:K36" si="5">IFERROR(D5/$D$56,0)</f>
        <v>8.4581153185924661E-5</v>
      </c>
      <c r="L5" s="98">
        <f t="shared" ref="L5:L36" si="6">IFERROR($L$3*F5,0)</f>
        <v>5571400.1227634503</v>
      </c>
      <c r="M5" s="98">
        <f t="shared" ref="M5:M36" si="7">IFERROR($M$3*J5,0)</f>
        <v>3550099.6021436122</v>
      </c>
      <c r="N5" s="98">
        <f t="shared" ref="N5:N36" si="8">IFERROR($N$3*K5,0)</f>
        <v>8710.2328577263179</v>
      </c>
      <c r="O5" s="99">
        <f t="shared" ref="O5:O36" si="9">IFERROR(SUM(L5:N5),0)</f>
        <v>9130209.9577647895</v>
      </c>
      <c r="P5" s="211">
        <f t="shared" ref="P5:P36" si="10">IFERROR(O5/$O$56,0)</f>
        <v>1.7731872377495576E-2</v>
      </c>
      <c r="R5" s="31"/>
      <c r="AA5" s="31"/>
    </row>
    <row r="6" spans="1:27">
      <c r="A6" s="69">
        <v>11</v>
      </c>
      <c r="B6" s="100" t="s">
        <v>2</v>
      </c>
      <c r="C6" s="32">
        <v>2844290</v>
      </c>
      <c r="D6" s="32">
        <f>+VLOOKUP(A6,'COEF Art 14 F I'!A6:D56,4,FALSE)</f>
        <v>975274</v>
      </c>
      <c r="E6" s="200">
        <f t="shared" si="0"/>
        <v>0.34288838339269201</v>
      </c>
      <c r="F6" s="203">
        <f t="shared" si="1"/>
        <v>2.1477720177656773E-2</v>
      </c>
      <c r="G6" s="32">
        <v>825718</v>
      </c>
      <c r="H6" s="207">
        <f t="shared" si="2"/>
        <v>0.18112236865370512</v>
      </c>
      <c r="I6" s="208">
        <f t="shared" si="3"/>
        <v>0.18112236865370512</v>
      </c>
      <c r="J6" s="207">
        <f t="shared" si="4"/>
        <v>2.1828543247656273E-2</v>
      </c>
      <c r="K6" s="207">
        <f t="shared" si="5"/>
        <v>3.2186707389089225E-4</v>
      </c>
      <c r="L6" s="32">
        <f t="shared" si="6"/>
        <v>5529480.769470321</v>
      </c>
      <c r="M6" s="32">
        <f t="shared" si="7"/>
        <v>3371880.5100840563</v>
      </c>
      <c r="N6" s="32">
        <f t="shared" si="8"/>
        <v>33146.121295627083</v>
      </c>
      <c r="O6" s="96">
        <f t="shared" si="9"/>
        <v>8934507.4008500054</v>
      </c>
      <c r="P6" s="212">
        <f t="shared" si="10"/>
        <v>1.7351796477903438E-2</v>
      </c>
      <c r="R6" s="31"/>
      <c r="S6" s="31"/>
      <c r="T6" s="31"/>
      <c r="U6" s="31"/>
      <c r="V6" s="31"/>
      <c r="W6" s="31"/>
      <c r="X6" s="31"/>
    </row>
    <row r="7" spans="1:27">
      <c r="A7" s="69">
        <v>12</v>
      </c>
      <c r="B7" s="100" t="s">
        <v>132</v>
      </c>
      <c r="C7" s="32">
        <v>1323440</v>
      </c>
      <c r="D7" s="32">
        <f>+VLOOKUP(A7,'COEF Art 14 F I'!A7:D57,4,FALSE)</f>
        <v>285165</v>
      </c>
      <c r="E7" s="200">
        <f t="shared" si="0"/>
        <v>0.21547255636825244</v>
      </c>
      <c r="F7" s="203">
        <f t="shared" si="1"/>
        <v>1.3496693080854997E-2</v>
      </c>
      <c r="G7" s="32">
        <v>291226</v>
      </c>
      <c r="H7" s="207">
        <f t="shared" si="2"/>
        <v>-2.0812015410711981E-2</v>
      </c>
      <c r="I7" s="208">
        <f t="shared" si="3"/>
        <v>0</v>
      </c>
      <c r="J7" s="207">
        <f t="shared" si="4"/>
        <v>0</v>
      </c>
      <c r="K7" s="207">
        <f t="shared" si="5"/>
        <v>9.4112243457834712E-5</v>
      </c>
      <c r="L7" s="32">
        <f t="shared" si="6"/>
        <v>3474749.844244082</v>
      </c>
      <c r="M7" s="32">
        <f t="shared" si="7"/>
        <v>0</v>
      </c>
      <c r="N7" s="32">
        <f t="shared" si="8"/>
        <v>9691.7519376785385</v>
      </c>
      <c r="O7" s="96">
        <f t="shared" si="9"/>
        <v>3484441.5961817605</v>
      </c>
      <c r="P7" s="212">
        <f t="shared" si="10"/>
        <v>6.7671689891190623E-3</v>
      </c>
      <c r="R7" s="31"/>
      <c r="S7" s="31"/>
      <c r="T7" s="31"/>
      <c r="U7" s="31"/>
      <c r="V7" s="31"/>
      <c r="W7" s="31"/>
      <c r="X7" s="31"/>
    </row>
    <row r="8" spans="1:27">
      <c r="A8" s="69">
        <v>13</v>
      </c>
      <c r="B8" s="100" t="s">
        <v>3</v>
      </c>
      <c r="C8" s="32">
        <v>62649143</v>
      </c>
      <c r="D8" s="32">
        <f>+VLOOKUP(A8,'COEF Art 14 F I'!A8:D58,4,FALSE)</f>
        <v>27665867</v>
      </c>
      <c r="E8" s="200">
        <f t="shared" si="0"/>
        <v>0.44160008701156533</v>
      </c>
      <c r="F8" s="203">
        <f t="shared" si="1"/>
        <v>2.7660788637453235E-2</v>
      </c>
      <c r="G8" s="32">
        <v>25827964</v>
      </c>
      <c r="H8" s="207">
        <f t="shared" si="2"/>
        <v>7.1159422399690531E-2</v>
      </c>
      <c r="I8" s="208">
        <f t="shared" si="3"/>
        <v>7.1159422399690531E-2</v>
      </c>
      <c r="J8" s="207">
        <f t="shared" si="4"/>
        <v>8.5760060498088573E-3</v>
      </c>
      <c r="K8" s="207">
        <f t="shared" si="5"/>
        <v>9.1304922082866957E-3</v>
      </c>
      <c r="L8" s="32">
        <f t="shared" si="6"/>
        <v>7121323.7519638697</v>
      </c>
      <c r="M8" s="32">
        <f t="shared" si="7"/>
        <v>1324745.6472762234</v>
      </c>
      <c r="N8" s="32">
        <f t="shared" si="8"/>
        <v>940265.1801757114</v>
      </c>
      <c r="O8" s="96">
        <f t="shared" si="9"/>
        <v>9386334.5794158056</v>
      </c>
      <c r="P8" s="212">
        <f t="shared" si="10"/>
        <v>1.8229294575326609E-2</v>
      </c>
      <c r="R8" s="31"/>
      <c r="S8" s="31"/>
      <c r="T8" s="31"/>
      <c r="U8" s="31"/>
      <c r="V8" s="31"/>
      <c r="W8" s="31"/>
      <c r="X8" s="31"/>
    </row>
    <row r="9" spans="1:27">
      <c r="A9" s="69">
        <v>14</v>
      </c>
      <c r="B9" s="100" t="s">
        <v>133</v>
      </c>
      <c r="C9" s="32">
        <v>14024468</v>
      </c>
      <c r="D9" s="32">
        <f>+VLOOKUP(A9,'COEF Art 14 F I'!A9:D59,4,FALSE)</f>
        <v>2390993</v>
      </c>
      <c r="E9" s="200">
        <f t="shared" si="0"/>
        <v>0.17048725128111811</v>
      </c>
      <c r="F9" s="203">
        <f t="shared" si="1"/>
        <v>1.067891959664374E-2</v>
      </c>
      <c r="G9" s="32">
        <v>2729196</v>
      </c>
      <c r="H9" s="207">
        <f t="shared" si="2"/>
        <v>-0.12392037801608968</v>
      </c>
      <c r="I9" s="208">
        <f t="shared" si="3"/>
        <v>0</v>
      </c>
      <c r="J9" s="207">
        <f t="shared" si="4"/>
        <v>0</v>
      </c>
      <c r="K9" s="207">
        <f t="shared" si="5"/>
        <v>7.8909303498668698E-4</v>
      </c>
      <c r="L9" s="32">
        <f t="shared" si="6"/>
        <v>2749308.5886177877</v>
      </c>
      <c r="M9" s="32">
        <f t="shared" si="7"/>
        <v>0</v>
      </c>
      <c r="N9" s="32">
        <f t="shared" si="8"/>
        <v>81261.413710398614</v>
      </c>
      <c r="O9" s="96">
        <f t="shared" si="9"/>
        <v>2830570.0023281863</v>
      </c>
      <c r="P9" s="212">
        <f t="shared" si="10"/>
        <v>5.4972784053192048E-3</v>
      </c>
      <c r="R9" s="31"/>
      <c r="S9" s="31"/>
      <c r="T9" s="31"/>
      <c r="U9" s="31"/>
      <c r="V9" s="31"/>
      <c r="W9" s="31"/>
      <c r="X9" s="31"/>
    </row>
    <row r="10" spans="1:27">
      <c r="A10" s="69">
        <v>17</v>
      </c>
      <c r="B10" s="100" t="s">
        <v>4</v>
      </c>
      <c r="C10" s="32">
        <v>702944080</v>
      </c>
      <c r="D10" s="32">
        <f>+VLOOKUP(A10,'COEF Art 14 F I'!A10:D60,4,FALSE)</f>
        <v>367799477.69</v>
      </c>
      <c r="E10" s="200">
        <f t="shared" si="0"/>
        <v>0.52322722127484167</v>
      </c>
      <c r="F10" s="203">
        <f t="shared" si="1"/>
        <v>3.2773719939657373E-2</v>
      </c>
      <c r="G10" s="32">
        <v>369978125</v>
      </c>
      <c r="H10" s="207">
        <f t="shared" si="2"/>
        <v>-5.8885841156149921E-3</v>
      </c>
      <c r="I10" s="208">
        <f t="shared" si="3"/>
        <v>0</v>
      </c>
      <c r="J10" s="207">
        <f t="shared" si="4"/>
        <v>0</v>
      </c>
      <c r="K10" s="207">
        <f t="shared" si="5"/>
        <v>0.12138387946636413</v>
      </c>
      <c r="L10" s="32">
        <f t="shared" si="6"/>
        <v>8437657.8450289126</v>
      </c>
      <c r="M10" s="32">
        <f t="shared" si="7"/>
        <v>0</v>
      </c>
      <c r="N10" s="32">
        <f t="shared" si="8"/>
        <v>12500206.198443748</v>
      </c>
      <c r="O10" s="96">
        <f t="shared" si="9"/>
        <v>20937864.043472663</v>
      </c>
      <c r="P10" s="212">
        <f t="shared" si="10"/>
        <v>4.0663635863101497E-2</v>
      </c>
      <c r="R10" s="31"/>
      <c r="S10" s="31"/>
      <c r="T10" s="31"/>
      <c r="U10" s="31"/>
      <c r="V10" s="31"/>
      <c r="W10" s="31"/>
      <c r="X10" s="31"/>
    </row>
    <row r="11" spans="1:27">
      <c r="A11" s="69">
        <v>16</v>
      </c>
      <c r="B11" s="101" t="s">
        <v>5</v>
      </c>
      <c r="C11" s="32">
        <v>1993931</v>
      </c>
      <c r="D11" s="32">
        <f>+VLOOKUP(A11,'COEF Art 14 F I'!A11:D61,4,FALSE)</f>
        <v>889829</v>
      </c>
      <c r="E11" s="200">
        <f t="shared" si="0"/>
        <v>0.4462687023773641</v>
      </c>
      <c r="F11" s="203">
        <f t="shared" si="1"/>
        <v>2.7953219700446987E-2</v>
      </c>
      <c r="G11" s="32">
        <v>809425</v>
      </c>
      <c r="H11" s="207">
        <f t="shared" si="2"/>
        <v>9.9334712913488055E-2</v>
      </c>
      <c r="I11" s="208">
        <f t="shared" si="3"/>
        <v>9.9334712913488055E-2</v>
      </c>
      <c r="J11" s="207">
        <f t="shared" si="4"/>
        <v>1.1971641564445924E-2</v>
      </c>
      <c r="K11" s="207">
        <f t="shared" si="5"/>
        <v>2.9366788870948963E-4</v>
      </c>
      <c r="L11" s="32">
        <f t="shared" si="6"/>
        <v>7196610.6970327348</v>
      </c>
      <c r="M11" s="32">
        <f t="shared" si="7"/>
        <v>1849273.4218167127</v>
      </c>
      <c r="N11" s="32">
        <f t="shared" si="8"/>
        <v>30242.147300519195</v>
      </c>
      <c r="O11" s="96">
        <f t="shared" si="9"/>
        <v>9076126.266149966</v>
      </c>
      <c r="P11" s="212">
        <f t="shared" si="10"/>
        <v>1.7626835897299159E-2</v>
      </c>
      <c r="R11" s="31"/>
      <c r="S11" s="31"/>
      <c r="T11" s="31"/>
      <c r="U11" s="31"/>
      <c r="V11" s="31"/>
      <c r="W11" s="31"/>
      <c r="X11" s="31"/>
    </row>
    <row r="12" spans="1:27">
      <c r="A12" s="69">
        <v>18</v>
      </c>
      <c r="B12" s="100" t="s">
        <v>6</v>
      </c>
      <c r="C12" s="32">
        <v>2066645</v>
      </c>
      <c r="D12" s="32">
        <f>+VLOOKUP(A12,'COEF Art 14 F I'!A12:D62,4,FALSE)</f>
        <v>801056</v>
      </c>
      <c r="E12" s="200">
        <f t="shared" si="0"/>
        <v>0.38761180560763941</v>
      </c>
      <c r="F12" s="203">
        <f t="shared" si="1"/>
        <v>2.4279089935989366E-2</v>
      </c>
      <c r="G12" s="32">
        <v>2282515</v>
      </c>
      <c r="H12" s="207">
        <f t="shared" si="2"/>
        <v>-0.64904677515810416</v>
      </c>
      <c r="I12" s="208">
        <f t="shared" si="3"/>
        <v>0</v>
      </c>
      <c r="J12" s="207">
        <f t="shared" si="4"/>
        <v>0</v>
      </c>
      <c r="K12" s="207">
        <f t="shared" si="5"/>
        <v>2.6437037257503288E-4</v>
      </c>
      <c r="L12" s="32">
        <f t="shared" si="6"/>
        <v>6250698.854013118</v>
      </c>
      <c r="M12" s="32">
        <f t="shared" si="7"/>
        <v>0</v>
      </c>
      <c r="N12" s="32">
        <f t="shared" si="8"/>
        <v>27225.066330682304</v>
      </c>
      <c r="O12" s="96">
        <f t="shared" si="9"/>
        <v>6277923.9203438004</v>
      </c>
      <c r="P12" s="212">
        <f t="shared" si="10"/>
        <v>1.2192419042509684E-2</v>
      </c>
      <c r="R12" s="31"/>
      <c r="S12" s="31"/>
      <c r="T12" s="31"/>
      <c r="U12" s="31"/>
      <c r="V12" s="31"/>
      <c r="W12" s="31"/>
      <c r="X12" s="31"/>
    </row>
    <row r="13" spans="1:27">
      <c r="A13" s="69">
        <v>19</v>
      </c>
      <c r="B13" s="100" t="s">
        <v>117</v>
      </c>
      <c r="C13" s="32">
        <v>111747628</v>
      </c>
      <c r="D13" s="32">
        <f>+VLOOKUP(A13,'COEF Art 14 F I'!A13:D63,4,FALSE)</f>
        <v>34923971.5</v>
      </c>
      <c r="E13" s="200">
        <f t="shared" si="0"/>
        <v>0.31252539427503551</v>
      </c>
      <c r="F13" s="203">
        <f t="shared" si="1"/>
        <v>1.9575854102248155E-2</v>
      </c>
      <c r="G13" s="32">
        <v>34565785</v>
      </c>
      <c r="H13" s="207">
        <f t="shared" si="2"/>
        <v>1.0362458135986241E-2</v>
      </c>
      <c r="I13" s="208">
        <f t="shared" si="3"/>
        <v>1.0362458135986241E-2</v>
      </c>
      <c r="J13" s="207">
        <f t="shared" si="4"/>
        <v>1.2488648820945952E-3</v>
      </c>
      <c r="K13" s="207">
        <f t="shared" si="5"/>
        <v>1.1525865054696337E-2</v>
      </c>
      <c r="L13" s="32">
        <f t="shared" si="6"/>
        <v>5039841.6549324542</v>
      </c>
      <c r="M13" s="32">
        <f t="shared" si="7"/>
        <v>192913.61351451272</v>
      </c>
      <c r="N13" s="32">
        <f t="shared" si="8"/>
        <v>1186942.5366246034</v>
      </c>
      <c r="O13" s="96">
        <f t="shared" si="9"/>
        <v>6419697.80507157</v>
      </c>
      <c r="P13" s="212">
        <f t="shared" si="10"/>
        <v>1.2467759526691718E-2</v>
      </c>
      <c r="R13" s="31"/>
      <c r="S13" s="31"/>
      <c r="T13" s="31"/>
      <c r="U13" s="31"/>
      <c r="V13" s="31"/>
      <c r="W13" s="31"/>
      <c r="X13" s="31"/>
    </row>
    <row r="14" spans="1:27">
      <c r="A14" s="69">
        <v>20</v>
      </c>
      <c r="B14" s="100" t="s">
        <v>118</v>
      </c>
      <c r="C14" s="32">
        <v>80970365</v>
      </c>
      <c r="D14" s="32">
        <f>+VLOOKUP(A14,'COEF Art 14 F I'!A14:D64,4,FALSE)</f>
        <v>18680439</v>
      </c>
      <c r="E14" s="200">
        <f t="shared" si="0"/>
        <v>0.2307071111757987</v>
      </c>
      <c r="F14" s="203">
        <f t="shared" si="1"/>
        <v>1.4450949687480615E-2</v>
      </c>
      <c r="G14" s="50">
        <v>10430458</v>
      </c>
      <c r="H14" s="207">
        <f t="shared" si="2"/>
        <v>0.79095098220998539</v>
      </c>
      <c r="I14" s="208">
        <f t="shared" si="3"/>
        <v>0.79095098220998539</v>
      </c>
      <c r="J14" s="207">
        <f t="shared" si="4"/>
        <v>9.5323994768183956E-2</v>
      </c>
      <c r="K14" s="207">
        <f t="shared" si="5"/>
        <v>6.1650553997413095E-3</v>
      </c>
      <c r="L14" s="32">
        <f t="shared" si="6"/>
        <v>3720425.0607861774</v>
      </c>
      <c r="M14" s="32">
        <f t="shared" si="7"/>
        <v>14724808.543360079</v>
      </c>
      <c r="N14" s="32">
        <f t="shared" si="8"/>
        <v>634882.19408039469</v>
      </c>
      <c r="O14" s="96">
        <f t="shared" si="9"/>
        <v>19080115.798226651</v>
      </c>
      <c r="P14" s="212">
        <f t="shared" si="10"/>
        <v>3.7055684354143741E-2</v>
      </c>
      <c r="R14" s="31"/>
      <c r="S14" s="31"/>
      <c r="T14" s="31"/>
      <c r="U14" s="31"/>
      <c r="V14" s="31"/>
      <c r="W14" s="31"/>
      <c r="X14" s="31"/>
    </row>
    <row r="15" spans="1:27">
      <c r="A15" s="69">
        <v>23</v>
      </c>
      <c r="B15" s="100" t="s">
        <v>119</v>
      </c>
      <c r="C15" s="32">
        <v>4477786</v>
      </c>
      <c r="D15" s="32">
        <f>+VLOOKUP(A15,'COEF Art 14 F I'!A15:D65,4,FALSE)</f>
        <v>1301173</v>
      </c>
      <c r="E15" s="200">
        <f t="shared" si="0"/>
        <v>0.29058400736435375</v>
      </c>
      <c r="F15" s="203">
        <f t="shared" si="1"/>
        <v>1.8201497340101378E-2</v>
      </c>
      <c r="G15" s="32">
        <v>1264344</v>
      </c>
      <c r="H15" s="207">
        <f t="shared" si="2"/>
        <v>2.9128939592389491E-2</v>
      </c>
      <c r="I15" s="208">
        <f t="shared" si="3"/>
        <v>2.9128939592389491E-2</v>
      </c>
      <c r="J15" s="207">
        <f t="shared" si="4"/>
        <v>3.5105675923802243E-3</v>
      </c>
      <c r="K15" s="207">
        <f t="shared" si="5"/>
        <v>4.2942265059443189E-4</v>
      </c>
      <c r="L15" s="32">
        <f t="shared" si="6"/>
        <v>4686010.8375169346</v>
      </c>
      <c r="M15" s="32">
        <f t="shared" si="7"/>
        <v>542281.46650833183</v>
      </c>
      <c r="N15" s="32">
        <f t="shared" si="8"/>
        <v>44222.278133729582</v>
      </c>
      <c r="O15" s="96">
        <f t="shared" si="9"/>
        <v>5272514.5821589958</v>
      </c>
      <c r="P15" s="212">
        <f t="shared" si="10"/>
        <v>1.0239803477883638E-2</v>
      </c>
      <c r="R15" s="31"/>
      <c r="S15" s="31"/>
      <c r="T15" s="31"/>
      <c r="U15" s="31"/>
      <c r="V15" s="31"/>
      <c r="W15" s="31"/>
      <c r="X15" s="31"/>
    </row>
    <row r="16" spans="1:27">
      <c r="A16" s="69">
        <v>21</v>
      </c>
      <c r="B16" s="100" t="s">
        <v>7</v>
      </c>
      <c r="C16" s="32">
        <v>5828675</v>
      </c>
      <c r="D16" s="32">
        <f>+VLOOKUP(A16,'COEF Art 14 F I'!A16:D66,4,FALSE)</f>
        <v>1894767.5</v>
      </c>
      <c r="E16" s="200">
        <f t="shared" si="0"/>
        <v>0.3250768828249988</v>
      </c>
      <c r="F16" s="203">
        <f t="shared" si="1"/>
        <v>2.036204976225231E-2</v>
      </c>
      <c r="G16" s="50">
        <v>1750296</v>
      </c>
      <c r="H16" s="207">
        <f t="shared" si="2"/>
        <v>8.2541181605854108E-2</v>
      </c>
      <c r="I16" s="208">
        <f t="shared" si="3"/>
        <v>8.2541181605854108E-2</v>
      </c>
      <c r="J16" s="207">
        <f t="shared" si="4"/>
        <v>9.9477152700055485E-3</v>
      </c>
      <c r="K16" s="207">
        <f t="shared" si="5"/>
        <v>6.2532505832059633E-4</v>
      </c>
      <c r="L16" s="32">
        <f t="shared" si="6"/>
        <v>5242249.2543924954</v>
      </c>
      <c r="M16" s="32">
        <f t="shared" si="7"/>
        <v>1536635.1688355897</v>
      </c>
      <c r="N16" s="32">
        <f t="shared" si="8"/>
        <v>64396.460258360319</v>
      </c>
      <c r="O16" s="96">
        <f t="shared" si="9"/>
        <v>6843280.8834864451</v>
      </c>
      <c r="P16" s="212">
        <f t="shared" si="10"/>
        <v>1.3290404473791931E-2</v>
      </c>
      <c r="R16" s="31"/>
      <c r="S16" s="31"/>
      <c r="T16" s="31"/>
      <c r="U16" s="31"/>
      <c r="V16" s="31"/>
      <c r="W16" s="31"/>
      <c r="X16" s="31"/>
    </row>
    <row r="17" spans="1:24">
      <c r="A17" s="69">
        <v>22</v>
      </c>
      <c r="B17" s="100" t="s">
        <v>120</v>
      </c>
      <c r="C17" s="32">
        <v>80074721</v>
      </c>
      <c r="D17" s="32">
        <f>+VLOOKUP(A17,'COEF Art 14 F I'!A17:D67,4,FALSE)</f>
        <v>26652471.84</v>
      </c>
      <c r="E17" s="200">
        <f t="shared" si="0"/>
        <v>0.33284501659393856</v>
      </c>
      <c r="F17" s="203">
        <f t="shared" si="1"/>
        <v>2.0848627352723841E-2</v>
      </c>
      <c r="G17" s="32">
        <v>15225307</v>
      </c>
      <c r="H17" s="207">
        <f t="shared" si="2"/>
        <v>0.75053756485829815</v>
      </c>
      <c r="I17" s="208">
        <f t="shared" si="3"/>
        <v>0.75053756485829815</v>
      </c>
      <c r="J17" s="207">
        <f t="shared" si="4"/>
        <v>9.0453442141227455E-2</v>
      </c>
      <c r="K17" s="207">
        <f t="shared" si="5"/>
        <v>8.796044109758084E-3</v>
      </c>
      <c r="L17" s="32">
        <f t="shared" si="6"/>
        <v>5367519.5999930715</v>
      </c>
      <c r="M17" s="32">
        <f t="shared" si="7"/>
        <v>13972448.603906186</v>
      </c>
      <c r="N17" s="32">
        <f t="shared" si="8"/>
        <v>905823.45518995204</v>
      </c>
      <c r="O17" s="96">
        <f t="shared" si="9"/>
        <v>20245791.659089208</v>
      </c>
      <c r="P17" s="212">
        <f t="shared" si="10"/>
        <v>3.931955514068175E-2</v>
      </c>
      <c r="R17" s="31"/>
      <c r="S17" s="31"/>
      <c r="T17" s="31"/>
      <c r="U17" s="31"/>
      <c r="V17" s="31"/>
      <c r="W17" s="31"/>
      <c r="X17" s="31"/>
    </row>
    <row r="18" spans="1:24">
      <c r="A18" s="69">
        <v>25</v>
      </c>
      <c r="B18" s="100" t="s">
        <v>8</v>
      </c>
      <c r="C18" s="32">
        <v>7641267</v>
      </c>
      <c r="D18" s="32">
        <f>+VLOOKUP(A18,'COEF Art 14 F I'!A18:D68,4,FALSE)</f>
        <v>883533</v>
      </c>
      <c r="E18" s="200">
        <f t="shared" si="0"/>
        <v>0.11562650539498227</v>
      </c>
      <c r="F18" s="203">
        <f t="shared" si="1"/>
        <v>7.2425717763370551E-3</v>
      </c>
      <c r="G18" s="32">
        <v>928327</v>
      </c>
      <c r="H18" s="207">
        <f t="shared" si="2"/>
        <v>-4.8252393822435402E-2</v>
      </c>
      <c r="I18" s="208">
        <f t="shared" si="3"/>
        <v>0</v>
      </c>
      <c r="J18" s="207">
        <f t="shared" si="4"/>
        <v>0</v>
      </c>
      <c r="K18" s="207">
        <f t="shared" si="5"/>
        <v>2.9159003664205315E-4</v>
      </c>
      <c r="L18" s="32">
        <f t="shared" si="6"/>
        <v>1864614.1688923645</v>
      </c>
      <c r="M18" s="32">
        <f t="shared" si="7"/>
        <v>0</v>
      </c>
      <c r="N18" s="32">
        <f t="shared" si="8"/>
        <v>30028.168480539101</v>
      </c>
      <c r="O18" s="96">
        <f t="shared" si="9"/>
        <v>1894642.3373729035</v>
      </c>
      <c r="P18" s="212">
        <f t="shared" si="10"/>
        <v>3.6796038954969362E-3</v>
      </c>
      <c r="R18" s="31"/>
      <c r="S18" s="31"/>
      <c r="T18" s="31"/>
      <c r="U18" s="31"/>
      <c r="V18" s="31"/>
      <c r="W18" s="31"/>
      <c r="X18" s="31"/>
    </row>
    <row r="19" spans="1:24">
      <c r="A19" s="69">
        <v>27</v>
      </c>
      <c r="B19" s="100" t="s">
        <v>9</v>
      </c>
      <c r="C19" s="32">
        <v>1765844</v>
      </c>
      <c r="D19" s="32">
        <f>+VLOOKUP(A19,'COEF Art 14 F I'!A19:D69,4,FALSE)</f>
        <v>269839</v>
      </c>
      <c r="E19" s="200">
        <f t="shared" si="0"/>
        <v>0.15281021426581284</v>
      </c>
      <c r="F19" s="203">
        <f t="shared" si="1"/>
        <v>9.5716716612419747E-3</v>
      </c>
      <c r="G19" s="32">
        <v>292169</v>
      </c>
      <c r="H19" s="207">
        <f t="shared" si="2"/>
        <v>-7.6428368512744371E-2</v>
      </c>
      <c r="I19" s="208">
        <f t="shared" si="3"/>
        <v>0</v>
      </c>
      <c r="J19" s="207">
        <f t="shared" si="4"/>
        <v>0</v>
      </c>
      <c r="K19" s="207">
        <f t="shared" si="5"/>
        <v>8.9054244603715963E-5</v>
      </c>
      <c r="L19" s="32">
        <f t="shared" si="6"/>
        <v>2464245.4573731124</v>
      </c>
      <c r="M19" s="32">
        <f t="shared" si="7"/>
        <v>0</v>
      </c>
      <c r="N19" s="32">
        <f t="shared" si="8"/>
        <v>9170.8752866278792</v>
      </c>
      <c r="O19" s="96">
        <f t="shared" si="9"/>
        <v>2473416.3326597405</v>
      </c>
      <c r="P19" s="212">
        <f t="shared" si="10"/>
        <v>4.8036466795417284E-3</v>
      </c>
      <c r="R19" s="31"/>
      <c r="S19" s="31"/>
      <c r="T19" s="31"/>
      <c r="U19" s="31"/>
      <c r="V19" s="31"/>
      <c r="W19" s="31"/>
      <c r="X19" s="31"/>
    </row>
    <row r="20" spans="1:24">
      <c r="A20" s="69">
        <v>26</v>
      </c>
      <c r="B20" s="100" t="s">
        <v>121</v>
      </c>
      <c r="C20" s="32">
        <v>2266762</v>
      </c>
      <c r="D20" s="32">
        <f>+VLOOKUP(A20,'COEF Art 14 F I'!A20:D70,4,FALSE)</f>
        <v>767171</v>
      </c>
      <c r="E20" s="200">
        <f t="shared" si="0"/>
        <v>0.33844355957970002</v>
      </c>
      <c r="F20" s="203">
        <f t="shared" si="1"/>
        <v>2.1199306890073634E-2</v>
      </c>
      <c r="G20" s="32">
        <v>719516</v>
      </c>
      <c r="H20" s="207">
        <f t="shared" si="2"/>
        <v>6.6232022637439547E-2</v>
      </c>
      <c r="I20" s="208">
        <f t="shared" si="3"/>
        <v>6.6232022637439547E-2</v>
      </c>
      <c r="J20" s="207">
        <f t="shared" si="4"/>
        <v>7.9821646617557283E-3</v>
      </c>
      <c r="K20" s="207">
        <f t="shared" si="5"/>
        <v>2.5318739651005741E-4</v>
      </c>
      <c r="L20" s="32">
        <f t="shared" si="6"/>
        <v>5457802.7279034378</v>
      </c>
      <c r="M20" s="32">
        <f t="shared" si="7"/>
        <v>1233014.2761196711</v>
      </c>
      <c r="N20" s="32">
        <f t="shared" si="8"/>
        <v>26073.434768575324</v>
      </c>
      <c r="O20" s="96">
        <f t="shared" si="9"/>
        <v>6716890.4387916839</v>
      </c>
      <c r="P20" s="212">
        <f t="shared" si="10"/>
        <v>1.3044940322865541E-2</v>
      </c>
      <c r="R20" s="31"/>
      <c r="S20" s="31"/>
      <c r="T20" s="31"/>
      <c r="U20" s="31"/>
      <c r="V20" s="31"/>
      <c r="W20" s="31"/>
      <c r="X20" s="31"/>
    </row>
    <row r="21" spans="1:24">
      <c r="A21" s="69">
        <v>29</v>
      </c>
      <c r="B21" s="100" t="s">
        <v>10</v>
      </c>
      <c r="C21" s="32">
        <v>11271959</v>
      </c>
      <c r="D21" s="32">
        <f>+VLOOKUP(A21,'COEF Art 14 F I'!A21:D71,4,FALSE)</f>
        <v>1276918</v>
      </c>
      <c r="E21" s="200">
        <f t="shared" si="0"/>
        <v>0.11328270445270427</v>
      </c>
      <c r="F21" s="203">
        <f t="shared" si="1"/>
        <v>7.0957616094474872E-3</v>
      </c>
      <c r="G21" s="32">
        <v>1519021</v>
      </c>
      <c r="H21" s="207">
        <f t="shared" si="2"/>
        <v>-0.1593809433839295</v>
      </c>
      <c r="I21" s="208">
        <f t="shared" si="3"/>
        <v>0</v>
      </c>
      <c r="J21" s="207">
        <f t="shared" si="4"/>
        <v>0</v>
      </c>
      <c r="K21" s="207">
        <f t="shared" si="5"/>
        <v>4.2141783771392491E-4</v>
      </c>
      <c r="L21" s="32">
        <f t="shared" si="6"/>
        <v>1826817.6063213011</v>
      </c>
      <c r="M21" s="32">
        <f t="shared" si="7"/>
        <v>0</v>
      </c>
      <c r="N21" s="32">
        <f t="shared" si="8"/>
        <v>43397.936285156327</v>
      </c>
      <c r="O21" s="96">
        <f t="shared" si="9"/>
        <v>1870215.5426064574</v>
      </c>
      <c r="P21" s="212">
        <f t="shared" si="10"/>
        <v>3.6321643722665269E-3</v>
      </c>
      <c r="R21" s="31"/>
      <c r="S21" s="31"/>
      <c r="T21" s="31"/>
      <c r="U21" s="31"/>
      <c r="V21" s="31"/>
      <c r="W21" s="31"/>
      <c r="X21" s="31"/>
    </row>
    <row r="22" spans="1:24">
      <c r="A22" s="69">
        <v>30</v>
      </c>
      <c r="B22" s="100" t="s">
        <v>122</v>
      </c>
      <c r="C22" s="32">
        <v>454175934</v>
      </c>
      <c r="D22" s="32">
        <f>+VLOOKUP(A22,'COEF Art 14 F I'!A22:D72,4,FALSE)</f>
        <v>134564154.37</v>
      </c>
      <c r="E22" s="200">
        <f t="shared" si="0"/>
        <v>0.29628200064427018</v>
      </c>
      <c r="F22" s="203">
        <f t="shared" si="1"/>
        <v>1.8558406209481355E-2</v>
      </c>
      <c r="G22" s="32">
        <v>99582374</v>
      </c>
      <c r="H22" s="207">
        <f t="shared" si="2"/>
        <v>0.35128486061197939</v>
      </c>
      <c r="I22" s="208">
        <f t="shared" si="3"/>
        <v>0.35128486061197939</v>
      </c>
      <c r="J22" s="207">
        <f t="shared" si="4"/>
        <v>4.2336221799176635E-2</v>
      </c>
      <c r="K22" s="207">
        <f t="shared" si="5"/>
        <v>4.4409848532488541E-2</v>
      </c>
      <c r="L22" s="32">
        <f t="shared" si="6"/>
        <v>4777897.7190558333</v>
      </c>
      <c r="M22" s="32">
        <f t="shared" si="7"/>
        <v>6539725.5114844544</v>
      </c>
      <c r="N22" s="32">
        <f t="shared" si="8"/>
        <v>4573360.6994460104</v>
      </c>
      <c r="O22" s="96">
        <f t="shared" si="9"/>
        <v>15890983.929986298</v>
      </c>
      <c r="P22" s="212">
        <f t="shared" si="10"/>
        <v>3.0862039350991362E-2</v>
      </c>
      <c r="R22" s="31"/>
      <c r="S22" s="31"/>
      <c r="T22" s="31"/>
      <c r="U22" s="31"/>
      <c r="V22" s="31"/>
      <c r="W22" s="31"/>
      <c r="X22" s="31"/>
    </row>
    <row r="23" spans="1:24">
      <c r="A23" s="69">
        <v>32</v>
      </c>
      <c r="B23" s="100" t="s">
        <v>11</v>
      </c>
      <c r="C23" s="32">
        <v>4666072</v>
      </c>
      <c r="D23" s="32">
        <f>+VLOOKUP(A23,'COEF Art 14 F I'!A23:D73,4,FALSE)</f>
        <v>3345298</v>
      </c>
      <c r="E23" s="200">
        <f t="shared" si="0"/>
        <v>0.71694093018710381</v>
      </c>
      <c r="F23" s="203">
        <f t="shared" si="1"/>
        <v>4.4907490099577861E-2</v>
      </c>
      <c r="G23" s="32">
        <v>940088</v>
      </c>
      <c r="H23" s="207">
        <f t="shared" si="2"/>
        <v>2.5584945239169099</v>
      </c>
      <c r="I23" s="208">
        <f t="shared" si="3"/>
        <v>2.5584945239169099</v>
      </c>
      <c r="J23" s="207">
        <f t="shared" si="4"/>
        <v>0.30834517447698778</v>
      </c>
      <c r="K23" s="207">
        <f t="shared" si="5"/>
        <v>1.1040397658022814E-3</v>
      </c>
      <c r="L23" s="32">
        <f t="shared" si="6"/>
        <v>11561520.536482094</v>
      </c>
      <c r="M23" s="32">
        <f t="shared" si="7"/>
        <v>47630438.385257602</v>
      </c>
      <c r="N23" s="32">
        <f t="shared" si="8"/>
        <v>113694.87270040903</v>
      </c>
      <c r="O23" s="96">
        <f t="shared" si="9"/>
        <v>59305653.794440106</v>
      </c>
      <c r="P23" s="212">
        <f t="shared" si="10"/>
        <v>0.11517810534604567</v>
      </c>
      <c r="R23" s="31"/>
      <c r="S23" s="31"/>
      <c r="T23" s="31"/>
      <c r="U23" s="31"/>
      <c r="V23" s="31"/>
      <c r="W23" s="31"/>
      <c r="X23" s="31"/>
    </row>
    <row r="24" spans="1:24">
      <c r="A24" s="69">
        <v>33</v>
      </c>
      <c r="B24" s="100" t="s">
        <v>12</v>
      </c>
      <c r="C24" s="32">
        <v>608429684</v>
      </c>
      <c r="D24" s="32">
        <f>+VLOOKUP(A24,'COEF Art 14 F I'!A24:D74,4,FALSE)</f>
        <v>203360245.22999999</v>
      </c>
      <c r="E24" s="200">
        <f t="shared" si="0"/>
        <v>0.33423787592519894</v>
      </c>
      <c r="F24" s="203">
        <f t="shared" si="1"/>
        <v>2.0935872778385833E-2</v>
      </c>
      <c r="G24" s="50">
        <v>167034921</v>
      </c>
      <c r="H24" s="207">
        <f t="shared" si="2"/>
        <v>0.21747143658660439</v>
      </c>
      <c r="I24" s="208">
        <f t="shared" si="3"/>
        <v>0.21747143658660439</v>
      </c>
      <c r="J24" s="207">
        <f t="shared" si="4"/>
        <v>2.6209267767123606E-2</v>
      </c>
      <c r="K24" s="207">
        <f t="shared" si="5"/>
        <v>6.7114438688937031E-2</v>
      </c>
      <c r="L24" s="32">
        <f t="shared" si="6"/>
        <v>5389981.1042603683</v>
      </c>
      <c r="M24" s="32">
        <f t="shared" si="7"/>
        <v>4048576.1310263854</v>
      </c>
      <c r="N24" s="32">
        <f t="shared" si="8"/>
        <v>6911497.03068271</v>
      </c>
      <c r="O24" s="96">
        <f t="shared" si="9"/>
        <v>16350054.265969463</v>
      </c>
      <c r="P24" s="212">
        <f t="shared" si="10"/>
        <v>3.175360445711739E-2</v>
      </c>
      <c r="R24" s="31"/>
      <c r="S24" s="31"/>
      <c r="T24" s="31"/>
      <c r="U24" s="31"/>
      <c r="V24" s="31"/>
      <c r="W24" s="31"/>
      <c r="X24" s="31"/>
    </row>
    <row r="25" spans="1:24">
      <c r="A25" s="69">
        <v>34</v>
      </c>
      <c r="B25" s="100" t="s">
        <v>123</v>
      </c>
      <c r="C25" s="32">
        <v>13398361</v>
      </c>
      <c r="D25" s="32">
        <f>+VLOOKUP(A25,'COEF Art 14 F I'!A25:D75,4,FALSE)</f>
        <v>4229569</v>
      </c>
      <c r="E25" s="200">
        <f t="shared" si="0"/>
        <v>0.31567808928271152</v>
      </c>
      <c r="F25" s="203">
        <f t="shared" si="1"/>
        <v>1.9773331486901382E-2</v>
      </c>
      <c r="G25" s="32">
        <v>4545524</v>
      </c>
      <c r="H25" s="207">
        <f t="shared" si="2"/>
        <v>-6.9509037901900883E-2</v>
      </c>
      <c r="I25" s="208">
        <f t="shared" si="3"/>
        <v>0</v>
      </c>
      <c r="J25" s="207">
        <f t="shared" si="4"/>
        <v>0</v>
      </c>
      <c r="K25" s="207">
        <f t="shared" si="5"/>
        <v>1.3958733626136116E-3</v>
      </c>
      <c r="L25" s="32">
        <f t="shared" si="6"/>
        <v>5090682.5911125084</v>
      </c>
      <c r="M25" s="32">
        <f t="shared" si="7"/>
        <v>0</v>
      </c>
      <c r="N25" s="32">
        <f t="shared" si="8"/>
        <v>143748.12319637783</v>
      </c>
      <c r="O25" s="96">
        <f t="shared" si="9"/>
        <v>5234430.7143088859</v>
      </c>
      <c r="P25" s="212">
        <f t="shared" si="10"/>
        <v>1.0165840415973407E-2</v>
      </c>
      <c r="R25" s="31"/>
      <c r="S25" s="31"/>
      <c r="T25" s="31"/>
      <c r="U25" s="31"/>
      <c r="V25" s="31"/>
      <c r="W25" s="31"/>
      <c r="X25" s="31"/>
    </row>
    <row r="26" spans="1:24">
      <c r="A26" s="69">
        <v>35</v>
      </c>
      <c r="B26" s="100" t="s">
        <v>13</v>
      </c>
      <c r="C26" s="32">
        <v>963025</v>
      </c>
      <c r="D26" s="32">
        <f>+VLOOKUP(A26,'COEF Art 14 F I'!A26:D76,4,FALSE)</f>
        <v>325651</v>
      </c>
      <c r="E26" s="200">
        <f t="shared" si="0"/>
        <v>0.33815425352405182</v>
      </c>
      <c r="F26" s="203">
        <f t="shared" si="1"/>
        <v>2.118118544061701E-2</v>
      </c>
      <c r="G26" s="50">
        <v>298339</v>
      </c>
      <c r="H26" s="207">
        <f t="shared" si="2"/>
        <v>9.1546864472965339E-2</v>
      </c>
      <c r="I26" s="208">
        <f t="shared" si="3"/>
        <v>9.1546864472965339E-2</v>
      </c>
      <c r="J26" s="207">
        <f t="shared" si="4"/>
        <v>1.1033064028420173E-2</v>
      </c>
      <c r="K26" s="207">
        <f t="shared" si="5"/>
        <v>1.0747372992578799E-4</v>
      </c>
      <c r="L26" s="32">
        <f t="shared" si="6"/>
        <v>5453137.3255489748</v>
      </c>
      <c r="M26" s="32">
        <f t="shared" si="7"/>
        <v>1704290.25619627</v>
      </c>
      <c r="N26" s="32">
        <f t="shared" si="8"/>
        <v>11067.728193351055</v>
      </c>
      <c r="O26" s="96">
        <f t="shared" si="9"/>
        <v>7168495.3099385956</v>
      </c>
      <c r="P26" s="212">
        <f t="shared" si="10"/>
        <v>1.3922006674819708E-2</v>
      </c>
      <c r="R26" s="31"/>
      <c r="S26" s="31"/>
      <c r="T26" s="31"/>
      <c r="U26" s="31"/>
      <c r="V26" s="31"/>
      <c r="W26" s="31"/>
      <c r="X26" s="31"/>
    </row>
    <row r="27" spans="1:24">
      <c r="A27" s="69">
        <v>61</v>
      </c>
      <c r="B27" s="101" t="s">
        <v>14</v>
      </c>
      <c r="C27" s="32">
        <v>1756335</v>
      </c>
      <c r="D27" s="32">
        <f>+VLOOKUP(A27,'COEF Art 14 F I'!A27:D77,4,FALSE)</f>
        <v>297973</v>
      </c>
      <c r="E27" s="200">
        <f t="shared" si="0"/>
        <v>0.16965613052179682</v>
      </c>
      <c r="F27" s="203">
        <f t="shared" si="1"/>
        <v>1.0626860151159111E-2</v>
      </c>
      <c r="G27" s="32">
        <v>227416</v>
      </c>
      <c r="H27" s="207">
        <f t="shared" si="2"/>
        <v>0.31025521511239318</v>
      </c>
      <c r="I27" s="208">
        <f t="shared" si="3"/>
        <v>0.31025521511239318</v>
      </c>
      <c r="J27" s="207">
        <f t="shared" si="4"/>
        <v>3.73914024602904E-2</v>
      </c>
      <c r="K27" s="207">
        <f t="shared" si="5"/>
        <v>9.8339233495910739E-5</v>
      </c>
      <c r="L27" s="32">
        <f t="shared" si="6"/>
        <v>2735905.783278327</v>
      </c>
      <c r="M27" s="32">
        <f t="shared" si="7"/>
        <v>5775893.5065032048</v>
      </c>
      <c r="N27" s="32">
        <f t="shared" si="8"/>
        <v>10127.050655325469</v>
      </c>
      <c r="O27" s="96">
        <f t="shared" si="9"/>
        <v>8521926.3404368572</v>
      </c>
      <c r="P27" s="212">
        <f t="shared" si="10"/>
        <v>1.6550518660365849E-2</v>
      </c>
      <c r="R27" s="31"/>
      <c r="S27" s="31"/>
      <c r="T27" s="31"/>
      <c r="U27" s="31"/>
      <c r="V27" s="31"/>
      <c r="W27" s="31"/>
      <c r="X27" s="31"/>
    </row>
    <row r="28" spans="1:24">
      <c r="A28" s="69">
        <v>36</v>
      </c>
      <c r="B28" s="101" t="s">
        <v>15</v>
      </c>
      <c r="C28" s="32">
        <v>68892512</v>
      </c>
      <c r="D28" s="32">
        <f>+VLOOKUP(A28,'COEF Art 14 F I'!A28:D78,4,FALSE)</f>
        <v>15809295</v>
      </c>
      <c r="E28" s="200">
        <f t="shared" si="0"/>
        <v>0.22947769708266699</v>
      </c>
      <c r="F28" s="203">
        <f t="shared" si="1"/>
        <v>1.4373942086308808E-2</v>
      </c>
      <c r="G28" s="32">
        <v>16361057</v>
      </c>
      <c r="H28" s="207">
        <f t="shared" si="2"/>
        <v>-3.3724104744577321E-2</v>
      </c>
      <c r="I28" s="208">
        <f t="shared" si="3"/>
        <v>0</v>
      </c>
      <c r="J28" s="207">
        <f t="shared" si="4"/>
        <v>0</v>
      </c>
      <c r="K28" s="207">
        <f t="shared" si="5"/>
        <v>5.2174994123988889E-3</v>
      </c>
      <c r="L28" s="32">
        <f t="shared" si="6"/>
        <v>3700599.3043157342</v>
      </c>
      <c r="M28" s="32">
        <f t="shared" si="7"/>
        <v>0</v>
      </c>
      <c r="N28" s="32">
        <f t="shared" si="8"/>
        <v>537302.14244238124</v>
      </c>
      <c r="O28" s="96">
        <f t="shared" si="9"/>
        <v>4237901.4467581157</v>
      </c>
      <c r="P28" s="212">
        <f t="shared" si="10"/>
        <v>8.2304709256341788E-3</v>
      </c>
      <c r="R28" s="31"/>
      <c r="S28" s="31"/>
      <c r="T28" s="31"/>
      <c r="U28" s="31"/>
      <c r="V28" s="31"/>
      <c r="W28" s="31"/>
      <c r="X28" s="31"/>
    </row>
    <row r="29" spans="1:24">
      <c r="A29" s="69">
        <v>28</v>
      </c>
      <c r="B29" s="101" t="s">
        <v>16</v>
      </c>
      <c r="C29" s="32">
        <v>1121319652</v>
      </c>
      <c r="D29" s="32">
        <f>+VLOOKUP(A29,'COEF Art 14 F I'!A29:D79,4,FALSE)</f>
        <v>368526134.63999999</v>
      </c>
      <c r="E29" s="200">
        <f t="shared" si="0"/>
        <v>0.32865395160308847</v>
      </c>
      <c r="F29" s="203">
        <f t="shared" si="1"/>
        <v>2.0586108919672223E-2</v>
      </c>
      <c r="G29" s="32">
        <v>367511762</v>
      </c>
      <c r="H29" s="207">
        <f t="shared" si="2"/>
        <v>2.7601093213445171E-3</v>
      </c>
      <c r="I29" s="208">
        <f t="shared" si="3"/>
        <v>2.7601093213445171E-3</v>
      </c>
      <c r="J29" s="207">
        <f t="shared" si="4"/>
        <v>3.3264342851224916E-4</v>
      </c>
      <c r="K29" s="207">
        <f t="shared" si="5"/>
        <v>0.12162369611913963</v>
      </c>
      <c r="L29" s="32">
        <f t="shared" si="6"/>
        <v>5299933.7195931356</v>
      </c>
      <c r="M29" s="32">
        <f t="shared" si="7"/>
        <v>51383.817998410028</v>
      </c>
      <c r="N29" s="32">
        <f t="shared" si="8"/>
        <v>12524902.703636145</v>
      </c>
      <c r="O29" s="96">
        <f t="shared" si="9"/>
        <v>17876220.24122769</v>
      </c>
      <c r="P29" s="212">
        <f t="shared" si="10"/>
        <v>3.4717586712217696E-2</v>
      </c>
      <c r="R29" s="31"/>
      <c r="S29" s="31"/>
      <c r="T29" s="31"/>
      <c r="U29" s="31"/>
      <c r="V29" s="31"/>
      <c r="W29" s="31"/>
      <c r="X29" s="31"/>
    </row>
    <row r="30" spans="1:24">
      <c r="A30" s="69">
        <v>37</v>
      </c>
      <c r="B30" s="101" t="s">
        <v>124</v>
      </c>
      <c r="C30" s="32">
        <v>1141678</v>
      </c>
      <c r="D30" s="32">
        <f>+VLOOKUP(A30,'COEF Art 14 F I'!A30:D80,4,FALSE)</f>
        <v>282213.3</v>
      </c>
      <c r="E30" s="200">
        <f t="shared" si="0"/>
        <v>0.24719167751327431</v>
      </c>
      <c r="F30" s="203">
        <f t="shared" si="1"/>
        <v>1.5483504070172681E-2</v>
      </c>
      <c r="G30" s="32">
        <v>291622</v>
      </c>
      <c r="H30" s="207">
        <f t="shared" si="2"/>
        <v>-3.2263340900206439E-2</v>
      </c>
      <c r="I30" s="208">
        <f t="shared" si="3"/>
        <v>0</v>
      </c>
      <c r="J30" s="207">
        <f t="shared" si="4"/>
        <v>0</v>
      </c>
      <c r="K30" s="207">
        <f t="shared" si="5"/>
        <v>9.3138101788925516E-5</v>
      </c>
      <c r="L30" s="32">
        <f t="shared" si="6"/>
        <v>3986258.1918308609</v>
      </c>
      <c r="M30" s="32">
        <f t="shared" si="7"/>
        <v>0</v>
      </c>
      <c r="N30" s="32">
        <f t="shared" si="8"/>
        <v>9591.4340719010197</v>
      </c>
      <c r="O30" s="96">
        <f t="shared" si="9"/>
        <v>3995849.6259027617</v>
      </c>
      <c r="P30" s="212">
        <f t="shared" si="10"/>
        <v>7.7603796554441213E-3</v>
      </c>
      <c r="R30" s="31"/>
      <c r="S30" s="31"/>
      <c r="T30" s="31"/>
      <c r="U30" s="31"/>
      <c r="V30" s="31"/>
      <c r="W30" s="31"/>
      <c r="X30" s="31"/>
    </row>
    <row r="31" spans="1:24">
      <c r="A31" s="69">
        <v>39</v>
      </c>
      <c r="B31" s="101" t="s">
        <v>17</v>
      </c>
      <c r="C31" s="32">
        <v>2489890</v>
      </c>
      <c r="D31" s="32">
        <f>+VLOOKUP(A31,'COEF Art 14 F I'!A31:D81,4,FALSE)</f>
        <v>522470</v>
      </c>
      <c r="E31" s="200">
        <f t="shared" si="0"/>
        <v>0.2098365791259855</v>
      </c>
      <c r="F31" s="203">
        <f t="shared" si="1"/>
        <v>1.3143668749906983E-2</v>
      </c>
      <c r="G31" s="32">
        <v>630053</v>
      </c>
      <c r="H31" s="207">
        <f t="shared" si="2"/>
        <v>-0.17075230179048428</v>
      </c>
      <c r="I31" s="208">
        <f t="shared" si="3"/>
        <v>0</v>
      </c>
      <c r="J31" s="207">
        <f t="shared" si="4"/>
        <v>0</v>
      </c>
      <c r="K31" s="207">
        <f t="shared" si="5"/>
        <v>1.7242937891892378E-4</v>
      </c>
      <c r="L31" s="32">
        <f t="shared" si="6"/>
        <v>3383863.0446682652</v>
      </c>
      <c r="M31" s="32">
        <f t="shared" si="7"/>
        <v>0</v>
      </c>
      <c r="N31" s="32">
        <f t="shared" si="8"/>
        <v>17756.911384212319</v>
      </c>
      <c r="O31" s="96">
        <f t="shared" si="9"/>
        <v>3401619.9560524775</v>
      </c>
      <c r="P31" s="212">
        <f t="shared" si="10"/>
        <v>6.6063202507372736E-3</v>
      </c>
      <c r="R31" s="31"/>
      <c r="S31" s="31"/>
      <c r="T31" s="31"/>
      <c r="U31" s="31"/>
      <c r="V31" s="31"/>
      <c r="W31" s="31"/>
      <c r="X31" s="31"/>
    </row>
    <row r="32" spans="1:24">
      <c r="A32" s="69">
        <v>38</v>
      </c>
      <c r="B32" s="101" t="s">
        <v>18</v>
      </c>
      <c r="C32" s="32">
        <v>717513</v>
      </c>
      <c r="D32" s="32">
        <f>+VLOOKUP(A32,'COEF Art 14 F I'!A32:D82,4,FALSE)</f>
        <v>349348</v>
      </c>
      <c r="E32" s="200">
        <f t="shared" si="0"/>
        <v>0.48688734559513208</v>
      </c>
      <c r="F32" s="203">
        <f t="shared" si="1"/>
        <v>3.049747577700292E-2</v>
      </c>
      <c r="G32" s="32">
        <v>344639</v>
      </c>
      <c r="H32" s="207">
        <f t="shared" si="2"/>
        <v>1.3663572607859331E-2</v>
      </c>
      <c r="I32" s="208">
        <f t="shared" si="3"/>
        <v>1.3663572607859331E-2</v>
      </c>
      <c r="J32" s="207">
        <f t="shared" si="4"/>
        <v>1.646709281714375E-3</v>
      </c>
      <c r="K32" s="207">
        <f t="shared" si="5"/>
        <v>1.1529438755635384E-4</v>
      </c>
      <c r="L32" s="32">
        <f t="shared" si="6"/>
        <v>7851634.3648873605</v>
      </c>
      <c r="M32" s="32">
        <f t="shared" si="7"/>
        <v>254369.10149207455</v>
      </c>
      <c r="N32" s="32">
        <f t="shared" si="8"/>
        <v>11873.105591233574</v>
      </c>
      <c r="O32" s="96">
        <f t="shared" si="9"/>
        <v>8117876.5719706686</v>
      </c>
      <c r="P32" s="212">
        <f t="shared" si="10"/>
        <v>1.5765809550527036E-2</v>
      </c>
      <c r="R32" s="31"/>
      <c r="S32" s="31"/>
      <c r="T32" s="31"/>
      <c r="U32" s="31"/>
      <c r="V32" s="31"/>
      <c r="W32" s="31"/>
      <c r="X32" s="31"/>
    </row>
    <row r="33" spans="1:24">
      <c r="A33" s="69">
        <v>40</v>
      </c>
      <c r="B33" s="101" t="s">
        <v>19</v>
      </c>
      <c r="C33" s="32">
        <v>2279973</v>
      </c>
      <c r="D33" s="32">
        <f>+VLOOKUP(A33,'COEF Art 14 F I'!A33:D83,4,FALSE)</f>
        <v>687297</v>
      </c>
      <c r="E33" s="200">
        <f t="shared" si="0"/>
        <v>0.30144962242973927</v>
      </c>
      <c r="F33" s="203">
        <f t="shared" si="1"/>
        <v>1.8882093858488578E-2</v>
      </c>
      <c r="G33" s="32">
        <v>650893</v>
      </c>
      <c r="H33" s="207">
        <f t="shared" si="2"/>
        <v>5.5929315571069393E-2</v>
      </c>
      <c r="I33" s="208">
        <f t="shared" si="3"/>
        <v>5.5929315571069393E-2</v>
      </c>
      <c r="J33" s="207">
        <f t="shared" si="4"/>
        <v>6.7405008714804546E-3</v>
      </c>
      <c r="K33" s="207">
        <f t="shared" si="5"/>
        <v>2.2682679358209957E-4</v>
      </c>
      <c r="L33" s="32">
        <f t="shared" si="6"/>
        <v>4861231.732894158</v>
      </c>
      <c r="M33" s="32">
        <f t="shared" si="7"/>
        <v>1041213.0236492011</v>
      </c>
      <c r="N33" s="32">
        <f t="shared" si="8"/>
        <v>23358.799402137873</v>
      </c>
      <c r="O33" s="96">
        <f t="shared" si="9"/>
        <v>5925803.555945497</v>
      </c>
      <c r="P33" s="212">
        <f t="shared" si="10"/>
        <v>1.1508562549404841E-2</v>
      </c>
      <c r="R33" s="31"/>
      <c r="S33" s="31"/>
      <c r="T33" s="31"/>
      <c r="U33" s="31"/>
      <c r="V33" s="31"/>
      <c r="W33" s="31"/>
      <c r="X33" s="31"/>
    </row>
    <row r="34" spans="1:24">
      <c r="A34" s="69">
        <v>41</v>
      </c>
      <c r="B34" s="101" t="s">
        <v>20</v>
      </c>
      <c r="C34" s="32">
        <v>679376</v>
      </c>
      <c r="D34" s="32">
        <f>+VLOOKUP(A34,'COEF Art 14 F I'!A34:D84,4,FALSE)</f>
        <v>124942</v>
      </c>
      <c r="E34" s="200">
        <f t="shared" si="0"/>
        <v>0.18390699700902005</v>
      </c>
      <c r="F34" s="203">
        <f t="shared" si="1"/>
        <v>1.1519500839867408E-2</v>
      </c>
      <c r="G34" s="32">
        <v>121874</v>
      </c>
      <c r="H34" s="207">
        <f t="shared" si="2"/>
        <v>2.5173539885455565E-2</v>
      </c>
      <c r="I34" s="208">
        <f t="shared" si="3"/>
        <v>2.5173539885455565E-2</v>
      </c>
      <c r="J34" s="207">
        <f t="shared" si="4"/>
        <v>3.0338699088950215E-3</v>
      </c>
      <c r="K34" s="207">
        <f t="shared" si="5"/>
        <v>4.123427462033835E-5</v>
      </c>
      <c r="L34" s="32">
        <f t="shared" si="6"/>
        <v>2965717.8620944954</v>
      </c>
      <c r="M34" s="32">
        <f t="shared" si="7"/>
        <v>468645.41989223176</v>
      </c>
      <c r="N34" s="32">
        <f t="shared" si="8"/>
        <v>4246.3376311869688</v>
      </c>
      <c r="O34" s="96">
        <f t="shared" si="9"/>
        <v>3438609.6196179143</v>
      </c>
      <c r="P34" s="212">
        <f t="shared" si="10"/>
        <v>6.6781582475262755E-3</v>
      </c>
      <c r="R34" s="31"/>
      <c r="S34" s="31"/>
      <c r="T34" s="31"/>
      <c r="U34" s="31"/>
      <c r="V34" s="31"/>
      <c r="W34" s="31"/>
      <c r="X34" s="31"/>
    </row>
    <row r="35" spans="1:24">
      <c r="A35" s="69">
        <v>42</v>
      </c>
      <c r="B35" s="101" t="s">
        <v>125</v>
      </c>
      <c r="C35" s="32">
        <v>729847622</v>
      </c>
      <c r="D35" s="32">
        <f>+VLOOKUP(A35,'COEF Art 14 F I'!A35:D85,4,FALSE)</f>
        <v>129597156.58</v>
      </c>
      <c r="E35" s="200">
        <f t="shared" si="0"/>
        <v>0.17756741636680978</v>
      </c>
      <c r="F35" s="203">
        <f t="shared" si="1"/>
        <v>1.1122404450278889E-2</v>
      </c>
      <c r="G35" s="32">
        <v>127211042</v>
      </c>
      <c r="H35" s="207">
        <f t="shared" si="2"/>
        <v>1.8757134148779331E-2</v>
      </c>
      <c r="I35" s="208">
        <f t="shared" si="3"/>
        <v>1.8757134148779331E-2</v>
      </c>
      <c r="J35" s="207">
        <f t="shared" si="4"/>
        <v>2.2605761895238123E-3</v>
      </c>
      <c r="K35" s="207">
        <f t="shared" si="5"/>
        <v>4.2770603515508869E-2</v>
      </c>
      <c r="L35" s="32">
        <f t="shared" si="6"/>
        <v>2863484.6254337425</v>
      </c>
      <c r="M35" s="32">
        <f t="shared" si="7"/>
        <v>349193.83801911928</v>
      </c>
      <c r="N35" s="32">
        <f t="shared" si="8"/>
        <v>4404549.9742319146</v>
      </c>
      <c r="O35" s="96">
        <f t="shared" si="9"/>
        <v>7617228.4376847763</v>
      </c>
      <c r="P35" s="212">
        <f t="shared" si="10"/>
        <v>1.4793495785098356E-2</v>
      </c>
      <c r="R35" s="31"/>
      <c r="S35" s="31"/>
      <c r="T35" s="31"/>
      <c r="U35" s="31"/>
      <c r="V35" s="31"/>
      <c r="W35" s="31"/>
      <c r="X35" s="31"/>
    </row>
    <row r="36" spans="1:24">
      <c r="A36" s="69">
        <v>43</v>
      </c>
      <c r="B36" s="101" t="s">
        <v>21</v>
      </c>
      <c r="C36" s="32">
        <v>5018993</v>
      </c>
      <c r="D36" s="32">
        <f>+VLOOKUP(A36,'COEF Art 14 F I'!A36:D86,4,FALSE)</f>
        <v>4000421</v>
      </c>
      <c r="E36" s="200">
        <f t="shared" si="0"/>
        <v>0.797056501174638</v>
      </c>
      <c r="F36" s="203">
        <f t="shared" si="1"/>
        <v>4.9925740640812531E-2</v>
      </c>
      <c r="G36" s="32">
        <v>2452655</v>
      </c>
      <c r="H36" s="207">
        <f t="shared" si="2"/>
        <v>0.63105736436637039</v>
      </c>
      <c r="I36" s="208">
        <f t="shared" si="3"/>
        <v>0.63105736436637039</v>
      </c>
      <c r="J36" s="207">
        <f t="shared" si="4"/>
        <v>7.6053902520236888E-2</v>
      </c>
      <c r="K36" s="207">
        <f t="shared" si="5"/>
        <v>1.3202482600804257E-3</v>
      </c>
      <c r="L36" s="32">
        <f t="shared" si="6"/>
        <v>12853478.883765511</v>
      </c>
      <c r="M36" s="32">
        <f t="shared" si="7"/>
        <v>11748134.940308208</v>
      </c>
      <c r="N36" s="32">
        <f t="shared" si="8"/>
        <v>135960.19139193068</v>
      </c>
      <c r="O36" s="96">
        <f t="shared" si="9"/>
        <v>24737574.015465647</v>
      </c>
      <c r="P36" s="212">
        <f t="shared" si="10"/>
        <v>4.8043090728493387E-2</v>
      </c>
      <c r="R36" s="31"/>
      <c r="S36" s="31"/>
      <c r="T36" s="31"/>
      <c r="U36" s="31"/>
      <c r="V36" s="31"/>
      <c r="W36" s="31"/>
      <c r="X36" s="31"/>
    </row>
    <row r="37" spans="1:24">
      <c r="A37" s="69">
        <v>44</v>
      </c>
      <c r="B37" s="101" t="s">
        <v>22</v>
      </c>
      <c r="C37" s="32">
        <v>41096396</v>
      </c>
      <c r="D37" s="32">
        <f>+VLOOKUP(A37,'COEF Art 14 F I'!A37:D87,4,FALSE)</f>
        <v>11577447</v>
      </c>
      <c r="E37" s="200">
        <f t="shared" ref="E37:E55" si="11">IFERROR(D37/C37,0)</f>
        <v>0.28171441116150431</v>
      </c>
      <c r="F37" s="203">
        <f t="shared" ref="F37:F55" si="12">IFERROR(E37/$E$56,0)</f>
        <v>1.7645926738820785E-2</v>
      </c>
      <c r="G37" s="32">
        <v>11225818</v>
      </c>
      <c r="H37" s="207">
        <f t="shared" ref="H37:H55" si="13">IFERROR((D37/G37)-1,0)</f>
        <v>3.1323240765171789E-2</v>
      </c>
      <c r="I37" s="208">
        <f t="shared" ref="I37:I55" si="14">IF(H37&lt;0,0,H37)</f>
        <v>3.1323240765171789E-2</v>
      </c>
      <c r="J37" s="207">
        <f t="shared" ref="J37:J55" si="15">IFERROR(I37/$I$56,0)</f>
        <v>3.7750208369159125E-3</v>
      </c>
      <c r="K37" s="207">
        <f t="shared" ref="K37:K55" si="16">IFERROR(D37/$D$56,0)</f>
        <v>3.8208739175010194E-3</v>
      </c>
      <c r="L37" s="32">
        <f t="shared" ref="L37:L55" si="17">IFERROR($L$3*F37,0)</f>
        <v>4542978.1072991379</v>
      </c>
      <c r="M37" s="32">
        <f t="shared" ref="M37:M55" si="18">IFERROR($M$3*J37,0)</f>
        <v>583131.86733268015</v>
      </c>
      <c r="N37" s="32">
        <f t="shared" ref="N37:N55" si="19">IFERROR($N$3*K37,0)</f>
        <v>393476.56407911412</v>
      </c>
      <c r="O37" s="96">
        <f t="shared" ref="O37:O55" si="20">IFERROR(SUM(L37:N37),0)</f>
        <v>5519586.5387109322</v>
      </c>
      <c r="P37" s="212">
        <f t="shared" ref="P37:P55" si="21">IFERROR(O37/$O$56,0)</f>
        <v>1.0719644403985365E-2</v>
      </c>
      <c r="R37" s="31"/>
      <c r="S37" s="31"/>
      <c r="T37" s="31"/>
      <c r="U37" s="31"/>
      <c r="V37" s="31"/>
      <c r="W37" s="31"/>
      <c r="X37" s="31"/>
    </row>
    <row r="38" spans="1:24">
      <c r="A38" s="69">
        <v>46</v>
      </c>
      <c r="B38" s="101" t="s">
        <v>126</v>
      </c>
      <c r="C38" s="32">
        <v>2180024</v>
      </c>
      <c r="D38" s="32">
        <f>+VLOOKUP(A38,'COEF Art 14 F I'!A38:D88,4,FALSE)</f>
        <v>1151227</v>
      </c>
      <c r="E38" s="200">
        <f t="shared" si="11"/>
        <v>0.52807996609211638</v>
      </c>
      <c r="F38" s="203">
        <f t="shared" si="12"/>
        <v>3.3077684437514493E-2</v>
      </c>
      <c r="G38" s="32">
        <v>1555152</v>
      </c>
      <c r="H38" s="207">
        <f t="shared" si="13"/>
        <v>-0.25973345370741896</v>
      </c>
      <c r="I38" s="208">
        <f t="shared" si="14"/>
        <v>0</v>
      </c>
      <c r="J38" s="207">
        <f t="shared" si="15"/>
        <v>0</v>
      </c>
      <c r="K38" s="207">
        <f t="shared" si="16"/>
        <v>3.7993637262368342E-4</v>
      </c>
      <c r="L38" s="32">
        <f t="shared" si="17"/>
        <v>8515914.0953012835</v>
      </c>
      <c r="M38" s="32">
        <f t="shared" si="18"/>
        <v>0</v>
      </c>
      <c r="N38" s="32">
        <f t="shared" si="19"/>
        <v>39126.142787361176</v>
      </c>
      <c r="O38" s="96">
        <f t="shared" si="20"/>
        <v>8555040.238088645</v>
      </c>
      <c r="P38" s="212">
        <f t="shared" si="21"/>
        <v>1.6614829493281975E-2</v>
      </c>
      <c r="R38" s="31"/>
      <c r="S38" s="31"/>
      <c r="T38" s="31"/>
      <c r="U38" s="31"/>
      <c r="V38" s="31"/>
      <c r="W38" s="31"/>
      <c r="X38" s="31"/>
    </row>
    <row r="39" spans="1:24">
      <c r="A39" s="69">
        <v>49</v>
      </c>
      <c r="B39" s="101" t="s">
        <v>23</v>
      </c>
      <c r="C39" s="32">
        <v>788566</v>
      </c>
      <c r="D39" s="32">
        <f>+VLOOKUP(A39,'COEF Art 14 F I'!A39:D89,4,FALSE)</f>
        <v>284653</v>
      </c>
      <c r="E39" s="200">
        <f t="shared" si="11"/>
        <v>0.3609754922225914</v>
      </c>
      <c r="F39" s="203">
        <f t="shared" si="12"/>
        <v>2.2610654045021158E-2</v>
      </c>
      <c r="G39" s="32">
        <v>328826</v>
      </c>
      <c r="H39" s="207">
        <f t="shared" si="13"/>
        <v>-0.13433548442033172</v>
      </c>
      <c r="I39" s="208">
        <f t="shared" si="14"/>
        <v>0</v>
      </c>
      <c r="J39" s="207">
        <f t="shared" si="15"/>
        <v>0</v>
      </c>
      <c r="K39" s="207">
        <f t="shared" si="16"/>
        <v>9.3943269465057166E-5</v>
      </c>
      <c r="L39" s="32">
        <f t="shared" si="17"/>
        <v>5821156.7937808521</v>
      </c>
      <c r="M39" s="32">
        <f t="shared" si="18"/>
        <v>0</v>
      </c>
      <c r="N39" s="32">
        <f t="shared" si="19"/>
        <v>9674.3508646433093</v>
      </c>
      <c r="O39" s="96">
        <f t="shared" si="20"/>
        <v>5830831.1446454953</v>
      </c>
      <c r="P39" s="212">
        <f t="shared" si="21"/>
        <v>1.1324115676403583E-2</v>
      </c>
      <c r="R39" s="31"/>
      <c r="S39" s="31"/>
      <c r="T39" s="31"/>
      <c r="U39" s="31"/>
      <c r="V39" s="31"/>
      <c r="W39" s="31"/>
      <c r="X39" s="31"/>
    </row>
    <row r="40" spans="1:24">
      <c r="A40" s="69">
        <v>48</v>
      </c>
      <c r="B40" s="101" t="s">
        <v>24</v>
      </c>
      <c r="C40" s="32">
        <v>949382</v>
      </c>
      <c r="D40" s="32">
        <f>+VLOOKUP(A40,'COEF Art 14 F I'!A40:D90,4,FALSE)</f>
        <v>97877</v>
      </c>
      <c r="E40" s="200">
        <f t="shared" si="11"/>
        <v>0.10309548738021154</v>
      </c>
      <c r="F40" s="203">
        <f t="shared" si="12"/>
        <v>6.4576583424100949E-3</v>
      </c>
      <c r="G40" s="32">
        <v>95366</v>
      </c>
      <c r="H40" s="207">
        <f t="shared" si="13"/>
        <v>2.6330138623828159E-2</v>
      </c>
      <c r="I40" s="208">
        <f t="shared" si="14"/>
        <v>2.6330138623828159E-2</v>
      </c>
      <c r="J40" s="207">
        <f t="shared" si="15"/>
        <v>3.173261115891775E-3</v>
      </c>
      <c r="K40" s="207">
        <f t="shared" si="16"/>
        <v>3.2302084943532653E-5</v>
      </c>
      <c r="L40" s="32">
        <f t="shared" si="17"/>
        <v>1662536.6810259798</v>
      </c>
      <c r="M40" s="32">
        <f t="shared" si="18"/>
        <v>490177.34205565468</v>
      </c>
      <c r="N40" s="32">
        <f t="shared" si="19"/>
        <v>3326.4937997445772</v>
      </c>
      <c r="O40" s="96">
        <f t="shared" si="20"/>
        <v>2156040.5168813793</v>
      </c>
      <c r="P40" s="212">
        <f t="shared" si="21"/>
        <v>4.1872679229612844E-3</v>
      </c>
      <c r="R40" s="31"/>
      <c r="S40" s="31"/>
      <c r="T40" s="31"/>
      <c r="U40" s="31"/>
      <c r="V40" s="31"/>
      <c r="W40" s="31"/>
      <c r="X40" s="31"/>
    </row>
    <row r="41" spans="1:24">
      <c r="A41" s="69">
        <v>47</v>
      </c>
      <c r="B41" s="101" t="s">
        <v>25</v>
      </c>
      <c r="C41" s="32">
        <v>5025616</v>
      </c>
      <c r="D41" s="32">
        <f>+VLOOKUP(A41,'COEF Art 14 F I'!A41:D91,4,FALSE)</f>
        <v>865595</v>
      </c>
      <c r="E41" s="200">
        <f t="shared" si="11"/>
        <v>0.1722365974638731</v>
      </c>
      <c r="F41" s="203">
        <f t="shared" si="12"/>
        <v>1.0788494518474891E-2</v>
      </c>
      <c r="G41" s="50">
        <v>736730</v>
      </c>
      <c r="H41" s="207">
        <f t="shared" si="13"/>
        <v>0.17491482632714828</v>
      </c>
      <c r="I41" s="208">
        <f t="shared" si="14"/>
        <v>0.17491482632714828</v>
      </c>
      <c r="J41" s="207">
        <f t="shared" si="15"/>
        <v>2.1080421372130374E-2</v>
      </c>
      <c r="K41" s="207">
        <f t="shared" si="16"/>
        <v>2.8567000640290514E-4</v>
      </c>
      <c r="L41" s="32">
        <f t="shared" si="17"/>
        <v>2777518.8650377155</v>
      </c>
      <c r="M41" s="32">
        <f t="shared" si="18"/>
        <v>3256317.2522599613</v>
      </c>
      <c r="N41" s="32">
        <f t="shared" si="19"/>
        <v>29418.51916783215</v>
      </c>
      <c r="O41" s="96">
        <f t="shared" si="20"/>
        <v>6063254.6364655094</v>
      </c>
      <c r="P41" s="212">
        <f t="shared" si="21"/>
        <v>1.1775507672157133E-2</v>
      </c>
      <c r="R41" s="31"/>
      <c r="S41" s="31"/>
      <c r="T41" s="31"/>
      <c r="U41" s="31"/>
      <c r="V41" s="31"/>
      <c r="W41" s="31"/>
      <c r="X41" s="31"/>
    </row>
    <row r="42" spans="1:24">
      <c r="A42" s="69">
        <v>45</v>
      </c>
      <c r="B42" s="101" t="s">
        <v>26</v>
      </c>
      <c r="C42" s="32">
        <v>69529815</v>
      </c>
      <c r="D42" s="32">
        <f>+VLOOKUP(A42,'COEF Art 14 F I'!A42:D92,4,FALSE)</f>
        <v>24377478</v>
      </c>
      <c r="E42" s="200">
        <f t="shared" si="11"/>
        <v>0.35060467225462916</v>
      </c>
      <c r="F42" s="203">
        <f t="shared" si="12"/>
        <v>2.1961050325347592E-2</v>
      </c>
      <c r="G42" s="32">
        <v>20566369</v>
      </c>
      <c r="H42" s="207">
        <f t="shared" si="13"/>
        <v>0.18530781977120014</v>
      </c>
      <c r="I42" s="208">
        <f t="shared" si="14"/>
        <v>0.18530781977120014</v>
      </c>
      <c r="J42" s="207">
        <f t="shared" si="15"/>
        <v>2.2332966314825134E-2</v>
      </c>
      <c r="K42" s="207">
        <f t="shared" si="16"/>
        <v>8.0452339677871045E-3</v>
      </c>
      <c r="L42" s="32">
        <f t="shared" si="17"/>
        <v>5653915.054620469</v>
      </c>
      <c r="M42" s="32">
        <f t="shared" si="18"/>
        <v>3449799.3290233882</v>
      </c>
      <c r="N42" s="32">
        <f t="shared" si="19"/>
        <v>828504.44354046229</v>
      </c>
      <c r="O42" s="96">
        <f t="shared" si="20"/>
        <v>9932218.8271843195</v>
      </c>
      <c r="P42" s="212">
        <f t="shared" si="21"/>
        <v>1.9289461850678747E-2</v>
      </c>
      <c r="R42" s="31"/>
      <c r="S42" s="31"/>
      <c r="T42" s="31"/>
      <c r="U42" s="31"/>
      <c r="V42" s="31"/>
      <c r="W42" s="31"/>
      <c r="X42" s="31"/>
    </row>
    <row r="43" spans="1:24">
      <c r="A43" s="69">
        <v>70</v>
      </c>
      <c r="B43" s="101" t="s">
        <v>27</v>
      </c>
      <c r="C43" s="32"/>
      <c r="D43" s="32"/>
      <c r="E43" s="200">
        <f t="shared" si="11"/>
        <v>0</v>
      </c>
      <c r="F43" s="203">
        <f t="shared" si="12"/>
        <v>0</v>
      </c>
      <c r="G43" s="32"/>
      <c r="H43" s="207">
        <f t="shared" si="13"/>
        <v>0</v>
      </c>
      <c r="I43" s="208">
        <f t="shared" si="14"/>
        <v>0</v>
      </c>
      <c r="J43" s="207">
        <f t="shared" si="15"/>
        <v>0</v>
      </c>
      <c r="K43" s="207">
        <f t="shared" si="16"/>
        <v>0</v>
      </c>
      <c r="L43" s="32">
        <f t="shared" si="17"/>
        <v>0</v>
      </c>
      <c r="M43" s="32">
        <f t="shared" si="18"/>
        <v>0</v>
      </c>
      <c r="N43" s="32">
        <f t="shared" si="19"/>
        <v>0</v>
      </c>
      <c r="O43" s="96">
        <f t="shared" si="20"/>
        <v>0</v>
      </c>
      <c r="P43" s="212">
        <f t="shared" si="21"/>
        <v>0</v>
      </c>
      <c r="R43" s="31"/>
      <c r="S43" s="31"/>
      <c r="T43" s="31"/>
      <c r="U43" s="31"/>
      <c r="V43" s="31"/>
      <c r="W43" s="31"/>
      <c r="X43" s="31"/>
    </row>
    <row r="44" spans="1:24">
      <c r="A44" s="69">
        <v>50</v>
      </c>
      <c r="B44" s="101" t="s">
        <v>127</v>
      </c>
      <c r="C44" s="32">
        <v>1496653</v>
      </c>
      <c r="D44" s="32">
        <f>+VLOOKUP(A44,'COEF Art 14 F I'!A44:D94,4,FALSE)</f>
        <v>392216</v>
      </c>
      <c r="E44" s="200">
        <f t="shared" si="11"/>
        <v>0.2620620811904964</v>
      </c>
      <c r="F44" s="203">
        <f t="shared" si="12"/>
        <v>1.6414951108267298E-2</v>
      </c>
      <c r="G44" s="32">
        <v>409925</v>
      </c>
      <c r="H44" s="207">
        <f t="shared" si="13"/>
        <v>-4.3200585472952358E-2</v>
      </c>
      <c r="I44" s="208">
        <f t="shared" si="14"/>
        <v>0</v>
      </c>
      <c r="J44" s="207">
        <f t="shared" si="15"/>
        <v>0</v>
      </c>
      <c r="K44" s="207">
        <f t="shared" si="16"/>
        <v>1.2944199912351832E-4</v>
      </c>
      <c r="L44" s="32">
        <f t="shared" si="17"/>
        <v>4226061.0406584684</v>
      </c>
      <c r="M44" s="32">
        <f t="shared" si="18"/>
        <v>0</v>
      </c>
      <c r="N44" s="32">
        <f t="shared" si="19"/>
        <v>13330.037620284837</v>
      </c>
      <c r="O44" s="96">
        <f t="shared" si="20"/>
        <v>4239391.078278753</v>
      </c>
      <c r="P44" s="212">
        <f t="shared" si="21"/>
        <v>8.2333639539583486E-3</v>
      </c>
      <c r="R44" s="31"/>
      <c r="S44" s="31"/>
      <c r="T44" s="31"/>
      <c r="U44" s="31"/>
      <c r="V44" s="31"/>
      <c r="W44" s="31"/>
      <c r="X44" s="31"/>
    </row>
    <row r="45" spans="1:24">
      <c r="A45" s="69">
        <v>51</v>
      </c>
      <c r="B45" s="101" t="s">
        <v>128</v>
      </c>
      <c r="C45" s="32">
        <v>139111120</v>
      </c>
      <c r="D45" s="32">
        <f>+VLOOKUP(A45,'COEF Art 14 F I'!A45:D95,4,FALSE)</f>
        <v>36526514</v>
      </c>
      <c r="E45" s="200">
        <f t="shared" si="11"/>
        <v>0.26257077076225105</v>
      </c>
      <c r="F45" s="203">
        <f t="shared" si="12"/>
        <v>1.6446814224104985E-2</v>
      </c>
      <c r="G45" s="32">
        <v>24732378</v>
      </c>
      <c r="H45" s="207">
        <f t="shared" si="13"/>
        <v>0.47687027911347624</v>
      </c>
      <c r="I45" s="208">
        <f t="shared" si="14"/>
        <v>0.47687027911347624</v>
      </c>
      <c r="J45" s="207">
        <f t="shared" si="15"/>
        <v>5.7471551352403838E-2</v>
      </c>
      <c r="K45" s="207">
        <f t="shared" si="16"/>
        <v>1.2054747876611815E-2</v>
      </c>
      <c r="L45" s="32">
        <f t="shared" si="17"/>
        <v>4234264.2617090512</v>
      </c>
      <c r="M45" s="32">
        <f t="shared" si="18"/>
        <v>8877697.5032574553</v>
      </c>
      <c r="N45" s="32">
        <f t="shared" si="19"/>
        <v>1241407.3004616355</v>
      </c>
      <c r="O45" s="96">
        <f t="shared" si="20"/>
        <v>14353369.065428142</v>
      </c>
      <c r="P45" s="212">
        <f t="shared" si="21"/>
        <v>2.7875822093095991E-2</v>
      </c>
      <c r="R45" s="31"/>
      <c r="S45" s="31"/>
      <c r="T45" s="31"/>
      <c r="U45" s="31"/>
      <c r="V45" s="31"/>
      <c r="W45" s="31"/>
      <c r="X45" s="31"/>
    </row>
    <row r="46" spans="1:24">
      <c r="A46" s="69">
        <v>52</v>
      </c>
      <c r="B46" s="101" t="s">
        <v>129</v>
      </c>
      <c r="C46" s="32">
        <v>9180989</v>
      </c>
      <c r="D46" s="32">
        <f>+VLOOKUP(A46,'COEF Art 14 F I'!A46:D96,4,FALSE)</f>
        <v>1864672</v>
      </c>
      <c r="E46" s="200">
        <f t="shared" si="11"/>
        <v>0.20310143057572555</v>
      </c>
      <c r="F46" s="203">
        <f t="shared" si="12"/>
        <v>1.2721794918877347E-2</v>
      </c>
      <c r="G46" s="32">
        <v>1668066</v>
      </c>
      <c r="H46" s="207">
        <f t="shared" si="13"/>
        <v>0.11786464084754433</v>
      </c>
      <c r="I46" s="208">
        <f t="shared" si="14"/>
        <v>0.11786464084754433</v>
      </c>
      <c r="J46" s="207">
        <f t="shared" si="15"/>
        <v>1.4204835268189083E-2</v>
      </c>
      <c r="K46" s="207">
        <f t="shared" si="16"/>
        <v>6.1539272082130551E-4</v>
      </c>
      <c r="L46" s="32">
        <f t="shared" si="17"/>
        <v>3275250.8075907053</v>
      </c>
      <c r="M46" s="32">
        <f t="shared" si="18"/>
        <v>2194237.4553512218</v>
      </c>
      <c r="N46" s="32">
        <f t="shared" si="19"/>
        <v>63373.620427243586</v>
      </c>
      <c r="O46" s="96">
        <f t="shared" si="20"/>
        <v>5532861.8833691701</v>
      </c>
      <c r="P46" s="212">
        <f t="shared" si="21"/>
        <v>1.0745426584059652E-2</v>
      </c>
      <c r="R46" s="31"/>
      <c r="S46" s="31"/>
      <c r="T46" s="31"/>
      <c r="U46" s="31"/>
      <c r="V46" s="31"/>
      <c r="W46" s="31"/>
      <c r="X46" s="31"/>
    </row>
    <row r="47" spans="1:24">
      <c r="A47" s="69">
        <v>53</v>
      </c>
      <c r="B47" s="101" t="s">
        <v>28</v>
      </c>
      <c r="C47" s="32">
        <v>1323551</v>
      </c>
      <c r="D47" s="32">
        <f>+VLOOKUP(A47,'COEF Art 14 F I'!A47:D97,4,FALSE)</f>
        <v>280110</v>
      </c>
      <c r="E47" s="200">
        <f t="shared" si="11"/>
        <v>0.21163521466116531</v>
      </c>
      <c r="F47" s="203">
        <f t="shared" si="12"/>
        <v>1.3256331040603312E-2</v>
      </c>
      <c r="G47" s="32">
        <v>267154</v>
      </c>
      <c r="H47" s="207">
        <f t="shared" si="13"/>
        <v>4.8496372878564342E-2</v>
      </c>
      <c r="I47" s="208">
        <f t="shared" si="14"/>
        <v>4.8496372878564342E-2</v>
      </c>
      <c r="J47" s="207">
        <f t="shared" si="15"/>
        <v>5.8446959401143583E-3</v>
      </c>
      <c r="K47" s="207">
        <f t="shared" si="16"/>
        <v>9.2443955306486012E-5</v>
      </c>
      <c r="L47" s="32">
        <f t="shared" si="17"/>
        <v>3412868.1701982035</v>
      </c>
      <c r="M47" s="32">
        <f t="shared" si="18"/>
        <v>902836.99210917426</v>
      </c>
      <c r="N47" s="32">
        <f t="shared" si="19"/>
        <v>9519.9503279264136</v>
      </c>
      <c r="O47" s="96">
        <f t="shared" si="20"/>
        <v>4325225.1126353042</v>
      </c>
      <c r="P47" s="212">
        <f t="shared" si="21"/>
        <v>8.4000630933972562E-3</v>
      </c>
      <c r="R47" s="31"/>
      <c r="S47" s="31"/>
      <c r="T47" s="31"/>
      <c r="U47" s="31"/>
      <c r="V47" s="31"/>
      <c r="W47" s="31"/>
      <c r="X47" s="31"/>
    </row>
    <row r="48" spans="1:24">
      <c r="A48" s="69">
        <v>54</v>
      </c>
      <c r="B48" s="101" t="s">
        <v>29</v>
      </c>
      <c r="C48" s="32">
        <v>19167200</v>
      </c>
      <c r="D48" s="32">
        <f>+VLOOKUP(A48,'COEF Art 14 F I'!A48:D98,4,FALSE)</f>
        <v>8019249.3600000003</v>
      </c>
      <c r="E48" s="200">
        <f t="shared" si="11"/>
        <v>0.41838397679368922</v>
      </c>
      <c r="F48" s="203">
        <f t="shared" si="12"/>
        <v>2.6206586211755634E-2</v>
      </c>
      <c r="G48" s="32">
        <v>7763840</v>
      </c>
      <c r="H48" s="207">
        <f t="shared" si="13"/>
        <v>3.2897298244167983E-2</v>
      </c>
      <c r="I48" s="208">
        <f t="shared" si="14"/>
        <v>3.2897298244167983E-2</v>
      </c>
      <c r="J48" s="207">
        <f t="shared" si="15"/>
        <v>3.9647234231285425E-3</v>
      </c>
      <c r="K48" s="207">
        <f t="shared" si="16"/>
        <v>2.6465714520274414E-3</v>
      </c>
      <c r="L48" s="32">
        <f t="shared" si="17"/>
        <v>6746936.5134069109</v>
      </c>
      <c r="M48" s="32">
        <f t="shared" si="18"/>
        <v>612435.44686639856</v>
      </c>
      <c r="N48" s="32">
        <f t="shared" si="19"/>
        <v>272545.98398648988</v>
      </c>
      <c r="O48" s="96">
        <f t="shared" si="20"/>
        <v>7631917.9442597991</v>
      </c>
      <c r="P48" s="212">
        <f t="shared" si="21"/>
        <v>1.482202442322186E-2</v>
      </c>
      <c r="R48" s="31"/>
      <c r="S48" s="31"/>
      <c r="T48" s="31"/>
      <c r="U48" s="31"/>
      <c r="V48" s="31"/>
      <c r="W48" s="31"/>
      <c r="X48" s="31"/>
    </row>
    <row r="49" spans="1:24">
      <c r="A49" s="69">
        <v>55</v>
      </c>
      <c r="B49" s="101" t="s">
        <v>30</v>
      </c>
      <c r="C49" s="32">
        <v>190044354</v>
      </c>
      <c r="D49" s="32">
        <f>+VLOOKUP(A49,'COEF Art 14 F I'!A49:D99,4,FALSE)</f>
        <v>35449978.850000001</v>
      </c>
      <c r="E49" s="200">
        <f t="shared" si="11"/>
        <v>0.18653529086162698</v>
      </c>
      <c r="F49" s="203">
        <f t="shared" si="12"/>
        <v>1.1684130972134964E-2</v>
      </c>
      <c r="G49" s="32">
        <v>36493941</v>
      </c>
      <c r="H49" s="207">
        <f t="shared" si="13"/>
        <v>-2.8606451410660205E-2</v>
      </c>
      <c r="I49" s="208">
        <f t="shared" si="14"/>
        <v>0</v>
      </c>
      <c r="J49" s="207">
        <f t="shared" si="15"/>
        <v>0</v>
      </c>
      <c r="K49" s="207">
        <f t="shared" si="16"/>
        <v>1.1699461855789777E-2</v>
      </c>
      <c r="L49" s="32">
        <f t="shared" si="17"/>
        <v>3008102.2093584943</v>
      </c>
      <c r="M49" s="32">
        <f t="shared" si="18"/>
        <v>0</v>
      </c>
      <c r="N49" s="32">
        <f t="shared" si="19"/>
        <v>1204819.670051201</v>
      </c>
      <c r="O49" s="96">
        <f t="shared" si="20"/>
        <v>4212921.879409695</v>
      </c>
      <c r="P49" s="212">
        <f t="shared" si="21"/>
        <v>8.1819578572254331E-3</v>
      </c>
      <c r="R49" s="31"/>
      <c r="S49" s="31"/>
      <c r="T49" s="31"/>
      <c r="U49" s="31"/>
      <c r="V49" s="31"/>
      <c r="W49" s="31"/>
      <c r="X49" s="31"/>
    </row>
    <row r="50" spans="1:24">
      <c r="A50" s="69">
        <v>58</v>
      </c>
      <c r="B50" s="101" t="s">
        <v>130</v>
      </c>
      <c r="C50" s="32">
        <v>653493426</v>
      </c>
      <c r="D50" s="32">
        <f>+VLOOKUP(A50,'COEF Art 14 F I'!A50:D100,4,FALSE)</f>
        <v>347547002.57999998</v>
      </c>
      <c r="E50" s="200">
        <f t="shared" si="11"/>
        <v>0.53182937846416833</v>
      </c>
      <c r="F50" s="203">
        <f t="shared" si="12"/>
        <v>3.3312538791461364E-2</v>
      </c>
      <c r="G50" s="32">
        <v>353219963</v>
      </c>
      <c r="H50" s="207">
        <f t="shared" si="13"/>
        <v>-1.6060701586110615E-2</v>
      </c>
      <c r="I50" s="208">
        <f t="shared" si="14"/>
        <v>0</v>
      </c>
      <c r="J50" s="207">
        <f t="shared" si="15"/>
        <v>0</v>
      </c>
      <c r="K50" s="207">
        <f t="shared" si="16"/>
        <v>0.1147000091871361</v>
      </c>
      <c r="L50" s="32">
        <f t="shared" si="17"/>
        <v>8576377.8048120607</v>
      </c>
      <c r="M50" s="32">
        <f t="shared" si="18"/>
        <v>0</v>
      </c>
      <c r="N50" s="32">
        <f t="shared" si="19"/>
        <v>11811896.045058414</v>
      </c>
      <c r="O50" s="96">
        <f t="shared" si="20"/>
        <v>20388273.849870473</v>
      </c>
      <c r="P50" s="212">
        <f t="shared" si="21"/>
        <v>3.9596271233157884E-2</v>
      </c>
      <c r="R50" s="31"/>
      <c r="S50" s="31"/>
      <c r="T50" s="31"/>
      <c r="U50" s="31"/>
      <c r="V50" s="31"/>
      <c r="W50" s="31"/>
      <c r="X50" s="31"/>
    </row>
    <row r="51" spans="1:24">
      <c r="A51" s="69">
        <v>31</v>
      </c>
      <c r="B51" s="101" t="s">
        <v>131</v>
      </c>
      <c r="C51" s="32">
        <v>1465567844</v>
      </c>
      <c r="D51" s="32">
        <f>+VLOOKUP(A51,'COEF Art 14 F I'!A51:D101,4,FALSE)</f>
        <v>868179354.09000003</v>
      </c>
      <c r="E51" s="200">
        <f t="shared" si="11"/>
        <v>0.59238428138574806</v>
      </c>
      <c r="F51" s="203">
        <f t="shared" si="12"/>
        <v>3.710555518783596E-2</v>
      </c>
      <c r="G51" s="32">
        <v>868048269</v>
      </c>
      <c r="H51" s="207">
        <f t="shared" si="13"/>
        <v>1.5101129128569646E-4</v>
      </c>
      <c r="I51" s="208">
        <f t="shared" si="14"/>
        <v>1.5101129128569646E-4</v>
      </c>
      <c r="J51" s="207">
        <f t="shared" si="15"/>
        <v>1.8199610170826971E-5</v>
      </c>
      <c r="K51" s="207">
        <f t="shared" si="16"/>
        <v>0.28652291388208151</v>
      </c>
      <c r="L51" s="32">
        <f t="shared" si="17"/>
        <v>9552897.2420965433</v>
      </c>
      <c r="M51" s="32">
        <f t="shared" si="18"/>
        <v>2811.3149892734132</v>
      </c>
      <c r="N51" s="32">
        <f t="shared" si="19"/>
        <v>29506352.24257626</v>
      </c>
      <c r="O51" s="96">
        <f t="shared" si="20"/>
        <v>39062060.799662076</v>
      </c>
      <c r="P51" s="212">
        <f t="shared" si="21"/>
        <v>7.5862820253385504E-2</v>
      </c>
      <c r="R51" s="31"/>
      <c r="S51" s="31"/>
      <c r="T51" s="31"/>
      <c r="U51" s="31"/>
      <c r="V51" s="31"/>
      <c r="W51" s="31"/>
      <c r="X51" s="31"/>
    </row>
    <row r="52" spans="1:24">
      <c r="A52" s="69">
        <v>57</v>
      </c>
      <c r="B52" s="101" t="s">
        <v>31</v>
      </c>
      <c r="C52" s="32">
        <v>798708151</v>
      </c>
      <c r="D52" s="32">
        <f>+VLOOKUP(A52,'COEF Art 14 F I'!A52:D102,4,FALSE)</f>
        <v>220953498.33000001</v>
      </c>
      <c r="E52" s="200">
        <f t="shared" si="11"/>
        <v>0.27663859202308305</v>
      </c>
      <c r="F52" s="203">
        <f t="shared" si="12"/>
        <v>1.7327989391253795E-2</v>
      </c>
      <c r="G52" s="32">
        <v>202042327</v>
      </c>
      <c r="H52" s="207">
        <f t="shared" si="13"/>
        <v>9.3600047132698094E-2</v>
      </c>
      <c r="I52" s="208">
        <f t="shared" si="14"/>
        <v>9.3600047132698094E-2</v>
      </c>
      <c r="J52" s="207">
        <f t="shared" si="15"/>
        <v>1.1280509922687398E-2</v>
      </c>
      <c r="K52" s="207">
        <f t="shared" si="16"/>
        <v>7.2920693029275119E-2</v>
      </c>
      <c r="L52" s="32">
        <f t="shared" si="17"/>
        <v>4461124.5197336869</v>
      </c>
      <c r="M52" s="32">
        <f t="shared" si="18"/>
        <v>1742513.5118076841</v>
      </c>
      <c r="N52" s="32">
        <f t="shared" si="19"/>
        <v>7509429.6129490975</v>
      </c>
      <c r="O52" s="96">
        <f t="shared" si="20"/>
        <v>13713067.644490469</v>
      </c>
      <c r="P52" s="212">
        <f t="shared" si="21"/>
        <v>2.663228627828813E-2</v>
      </c>
      <c r="R52" s="31"/>
      <c r="S52" s="31"/>
      <c r="T52" s="31"/>
      <c r="U52" s="31"/>
      <c r="V52" s="31"/>
      <c r="W52" s="31"/>
      <c r="X52" s="31"/>
    </row>
    <row r="53" spans="1:24">
      <c r="A53" s="69">
        <v>56</v>
      </c>
      <c r="B53" s="101" t="s">
        <v>32</v>
      </c>
      <c r="C53" s="32">
        <v>279425467</v>
      </c>
      <c r="D53" s="32">
        <f>+VLOOKUP(A53,'COEF Art 14 F I'!A53:D103,4,FALSE)</f>
        <v>116186275.01000001</v>
      </c>
      <c r="E53" s="200">
        <f t="shared" si="11"/>
        <v>0.41580417224461508</v>
      </c>
      <c r="F53" s="203">
        <f t="shared" si="12"/>
        <v>2.6044993335176306E-2</v>
      </c>
      <c r="G53" s="32">
        <v>109150869</v>
      </c>
      <c r="H53" s="207">
        <f t="shared" si="13"/>
        <v>6.4455794758720764E-2</v>
      </c>
      <c r="I53" s="208">
        <f t="shared" si="14"/>
        <v>6.4455794758720764E-2</v>
      </c>
      <c r="J53" s="207">
        <f t="shared" si="15"/>
        <v>7.7680968613150414E-3</v>
      </c>
      <c r="K53" s="207">
        <f t="shared" si="16"/>
        <v>3.8344646082794379E-2</v>
      </c>
      <c r="L53" s="32">
        <f t="shared" si="17"/>
        <v>6705334.1135181971</v>
      </c>
      <c r="M53" s="32">
        <f t="shared" si="18"/>
        <v>1199946.9735537972</v>
      </c>
      <c r="N53" s="32">
        <f t="shared" si="19"/>
        <v>3948761.4397272426</v>
      </c>
      <c r="O53" s="96">
        <f t="shared" si="20"/>
        <v>11854042.526799237</v>
      </c>
      <c r="P53" s="212">
        <f t="shared" si="21"/>
        <v>2.3021854942541532E-2</v>
      </c>
      <c r="R53" s="31"/>
      <c r="S53" s="31"/>
      <c r="T53" s="31"/>
      <c r="U53" s="31"/>
      <c r="V53" s="31"/>
      <c r="W53" s="31"/>
      <c r="X53" s="31"/>
    </row>
    <row r="54" spans="1:24">
      <c r="A54" s="69">
        <v>59</v>
      </c>
      <c r="B54" s="101" t="s">
        <v>33</v>
      </c>
      <c r="C54" s="32">
        <v>4860175</v>
      </c>
      <c r="D54" s="32">
        <f>+VLOOKUP(A54,'COEF Art 14 F I'!A54:D104,4,FALSE)</f>
        <v>1948534</v>
      </c>
      <c r="E54" s="200">
        <f t="shared" si="11"/>
        <v>0.40091848544548292</v>
      </c>
      <c r="F54" s="203">
        <f t="shared" si="12"/>
        <v>2.511258899834623E-2</v>
      </c>
      <c r="G54" s="32">
        <v>1301773</v>
      </c>
      <c r="H54" s="207">
        <f t="shared" si="13"/>
        <v>0.49683086068001092</v>
      </c>
      <c r="I54" s="208">
        <f t="shared" si="14"/>
        <v>0.49683086068001092</v>
      </c>
      <c r="J54" s="207">
        <f t="shared" si="15"/>
        <v>5.9877164867797539E-2</v>
      </c>
      <c r="K54" s="207">
        <f t="shared" si="16"/>
        <v>6.430694727398822E-4</v>
      </c>
      <c r="L54" s="32">
        <f t="shared" si="17"/>
        <v>6465284.8062720718</v>
      </c>
      <c r="M54" s="32">
        <f t="shared" si="18"/>
        <v>9249295.4260011893</v>
      </c>
      <c r="N54" s="32">
        <f t="shared" si="19"/>
        <v>66223.793839119506</v>
      </c>
      <c r="O54" s="96">
        <f t="shared" si="20"/>
        <v>15780804.026112381</v>
      </c>
      <c r="P54" s="212">
        <f t="shared" si="21"/>
        <v>3.0648057854060339E-2</v>
      </c>
      <c r="R54" s="31"/>
      <c r="S54" s="31"/>
      <c r="T54" s="31"/>
      <c r="U54" s="31"/>
      <c r="V54" s="31"/>
      <c r="W54" s="31"/>
      <c r="X54" s="31"/>
    </row>
    <row r="55" spans="1:24">
      <c r="A55" s="69">
        <v>60</v>
      </c>
      <c r="B55" s="101" t="s">
        <v>34</v>
      </c>
      <c r="C55" s="32">
        <v>3259973</v>
      </c>
      <c r="D55" s="32">
        <f>+VLOOKUP(A55,'COEF Art 14 F I'!A55:D105,4,FALSE)</f>
        <v>614010</v>
      </c>
      <c r="E55" s="200">
        <f t="shared" si="11"/>
        <v>0.18834818570583253</v>
      </c>
      <c r="F55" s="203">
        <f t="shared" si="12"/>
        <v>1.1797686432340717E-2</v>
      </c>
      <c r="G55" s="32">
        <v>846367</v>
      </c>
      <c r="H55" s="207">
        <f t="shared" si="13"/>
        <v>-0.27453456951889665</v>
      </c>
      <c r="I55" s="208">
        <f t="shared" si="14"/>
        <v>0</v>
      </c>
      <c r="J55" s="207">
        <f t="shared" si="15"/>
        <v>0</v>
      </c>
      <c r="K55" s="207">
        <f t="shared" si="16"/>
        <v>2.0264008067450456E-4</v>
      </c>
      <c r="L55" s="32">
        <f t="shared" si="17"/>
        <v>3037337.283113169</v>
      </c>
      <c r="M55" s="32">
        <f t="shared" si="18"/>
        <v>0</v>
      </c>
      <c r="N55" s="32">
        <f t="shared" si="19"/>
        <v>20868.032918675151</v>
      </c>
      <c r="O55" s="96">
        <f t="shared" si="20"/>
        <v>3058205.3160318444</v>
      </c>
      <c r="P55" s="212">
        <f t="shared" si="21"/>
        <v>5.9393712323052563E-3</v>
      </c>
      <c r="R55" s="31"/>
      <c r="S55" s="31"/>
      <c r="T55" s="31"/>
      <c r="U55" s="31"/>
      <c r="V55" s="31"/>
      <c r="W55" s="31"/>
      <c r="X55" s="31"/>
    </row>
    <row r="56" spans="1:24">
      <c r="B56" s="102" t="s">
        <v>35</v>
      </c>
      <c r="C56" s="103">
        <f>SUM(C5:C55)</f>
        <v>7795618133</v>
      </c>
      <c r="D56" s="103">
        <f>SUM(D5:D55)</f>
        <v>3030052090.1700001</v>
      </c>
      <c r="E56" s="201">
        <f>SUM(E5:E55)</f>
        <v>15.964840800440173</v>
      </c>
      <c r="F56" s="204">
        <f>SUM(F5:F55)</f>
        <v>0.99999999999999989</v>
      </c>
      <c r="G56" s="104">
        <f>SUM(G5:G55)</f>
        <v>2898312024</v>
      </c>
      <c r="H56" s="209"/>
      <c r="I56" s="210">
        <f t="shared" ref="I56:P56" si="22">SUM(I5:I55)</f>
        <v>8.2975014227370494</v>
      </c>
      <c r="J56" s="209">
        <f t="shared" si="22"/>
        <v>1.0000000000000002</v>
      </c>
      <c r="K56" s="209">
        <f t="shared" si="22"/>
        <v>1</v>
      </c>
      <c r="L56" s="104">
        <f t="shared" si="22"/>
        <v>257451942.00000006</v>
      </c>
      <c r="M56" s="104">
        <f t="shared" si="22"/>
        <v>154471165.20000005</v>
      </c>
      <c r="N56" s="104">
        <f t="shared" si="22"/>
        <v>102980776.80000001</v>
      </c>
      <c r="O56" s="103">
        <f t="shared" si="22"/>
        <v>514903884.00000024</v>
      </c>
      <c r="P56" s="213">
        <f t="shared" si="22"/>
        <v>0.99999999999999956</v>
      </c>
      <c r="R56" s="31"/>
      <c r="S56" s="31"/>
      <c r="T56" s="31"/>
      <c r="U56" s="31"/>
      <c r="V56" s="31"/>
      <c r="W56" s="31"/>
      <c r="X56" s="31"/>
    </row>
    <row r="59" spans="1:24">
      <c r="L59" s="252"/>
      <c r="M59" s="252"/>
      <c r="N59" s="252"/>
      <c r="O59" s="252"/>
      <c r="P59" s="252"/>
    </row>
    <row r="60" spans="1:24">
      <c r="L60" s="252"/>
      <c r="M60" s="252"/>
      <c r="N60" s="252"/>
      <c r="O60" s="252"/>
      <c r="P60" s="252"/>
    </row>
    <row r="61" spans="1:24">
      <c r="L61" s="252"/>
      <c r="M61" s="252"/>
      <c r="N61" s="252"/>
      <c r="O61" s="252"/>
      <c r="P61" s="252"/>
    </row>
    <row r="62" spans="1:24">
      <c r="L62" s="252"/>
      <c r="M62" s="252"/>
      <c r="N62" s="252"/>
      <c r="O62" s="252"/>
      <c r="P62" s="252"/>
    </row>
    <row r="63" spans="1:24">
      <c r="L63" s="252"/>
      <c r="M63" s="252"/>
      <c r="N63" s="252"/>
      <c r="O63" s="252"/>
      <c r="P63" s="252"/>
    </row>
  </sheetData>
  <mergeCells count="3">
    <mergeCell ref="C1:F1"/>
    <mergeCell ref="G1:J1"/>
    <mergeCell ref="L59:P63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scale="80" orientation="portrait" r:id="rId1"/>
  <headerFooter>
    <oddHeader>&amp;LANEXO I&amp;CArtículo 14 Fracción III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workbookViewId="0">
      <selection activeCell="C3" sqref="C3"/>
    </sheetView>
  </sheetViews>
  <sheetFormatPr baseColWidth="10" defaultRowHeight="12.75"/>
  <cols>
    <col min="1" max="1" width="3" style="53" bestFit="1" customWidth="1"/>
    <col min="2" max="2" width="46.7109375" style="53" customWidth="1"/>
    <col min="3" max="3" width="16.7109375" style="54" customWidth="1"/>
    <col min="4" max="4" width="16.7109375" style="53" customWidth="1"/>
    <col min="5" max="5" width="16.7109375" style="54" customWidth="1"/>
    <col min="6" max="16384" width="11.42578125" style="53"/>
  </cols>
  <sheetData>
    <row r="1" spans="1:5">
      <c r="B1" s="253" t="s">
        <v>164</v>
      </c>
      <c r="C1" s="253"/>
      <c r="D1" s="253"/>
      <c r="E1" s="253"/>
    </row>
    <row r="2" spans="1:5">
      <c r="B2" s="254" t="s">
        <v>192</v>
      </c>
      <c r="C2" s="254"/>
      <c r="D2" s="254"/>
      <c r="E2" s="254"/>
    </row>
    <row r="3" spans="1:5">
      <c r="B3" s="115" t="s">
        <v>165</v>
      </c>
      <c r="C3" s="116" t="s">
        <v>183</v>
      </c>
      <c r="D3" s="117" t="s">
        <v>166</v>
      </c>
      <c r="E3" s="118" t="s">
        <v>167</v>
      </c>
    </row>
    <row r="4" spans="1:5">
      <c r="A4" s="68">
        <v>15</v>
      </c>
      <c r="B4" s="109" t="s">
        <v>1</v>
      </c>
      <c r="C4" s="65">
        <v>826929.55</v>
      </c>
      <c r="D4" s="66">
        <f t="shared" ref="D4:D54" si="0">+C4/C$55</f>
        <v>1.9862976906557189E-4</v>
      </c>
      <c r="E4" s="110">
        <f>+ROUND(D4*'PART 2025'!D$13,2)</f>
        <v>49181.35</v>
      </c>
    </row>
    <row r="5" spans="1:5">
      <c r="A5" s="68">
        <v>11</v>
      </c>
      <c r="B5" s="109" t="s">
        <v>2</v>
      </c>
      <c r="C5" s="65">
        <v>693158.99</v>
      </c>
      <c r="D5" s="67">
        <f t="shared" si="0"/>
        <v>1.6649787168619752E-4</v>
      </c>
      <c r="E5" s="110">
        <f>+ROUND(D5*'PART 2025'!D$13,2)</f>
        <v>41225.39</v>
      </c>
    </row>
    <row r="6" spans="1:5">
      <c r="A6" s="68">
        <v>12</v>
      </c>
      <c r="B6" s="109" t="s">
        <v>132</v>
      </c>
      <c r="C6" s="65">
        <v>39514</v>
      </c>
      <c r="D6" s="67">
        <f t="shared" si="0"/>
        <v>9.4913244965753226E-6</v>
      </c>
      <c r="E6" s="110">
        <f>+ROUND(D6*'PART 2025'!D$13,2)</f>
        <v>2350.08</v>
      </c>
    </row>
    <row r="7" spans="1:5">
      <c r="A7" s="68">
        <v>13</v>
      </c>
      <c r="B7" s="109" t="s">
        <v>3</v>
      </c>
      <c r="C7" s="65">
        <v>34854192.280000001</v>
      </c>
      <c r="D7" s="67">
        <f t="shared" si="0"/>
        <v>8.3720314064764517E-3</v>
      </c>
      <c r="E7" s="110">
        <f>+ROUND(D7*'PART 2025'!D$13,2)</f>
        <v>2072941.2</v>
      </c>
    </row>
    <row r="8" spans="1:5">
      <c r="A8" s="68">
        <v>14</v>
      </c>
      <c r="B8" s="109" t="s">
        <v>133</v>
      </c>
      <c r="C8" s="65">
        <v>3248285.66</v>
      </c>
      <c r="D8" s="67">
        <f t="shared" si="0"/>
        <v>7.8024328735719838E-4</v>
      </c>
      <c r="E8" s="110">
        <f>+ROUND(D8*'PART 2025'!D$13,2)</f>
        <v>193190.68</v>
      </c>
    </row>
    <row r="9" spans="1:5">
      <c r="A9" s="68">
        <v>17</v>
      </c>
      <c r="B9" s="109" t="s">
        <v>4</v>
      </c>
      <c r="C9" s="65">
        <v>468510649.43000001</v>
      </c>
      <c r="D9" s="67">
        <f t="shared" si="0"/>
        <v>0.11253698951868633</v>
      </c>
      <c r="E9" s="110">
        <f>+ROUND(D9*'PART 2025'!D$13,2)</f>
        <v>27864511.16</v>
      </c>
    </row>
    <row r="10" spans="1:5">
      <c r="A10" s="68">
        <v>16</v>
      </c>
      <c r="B10" s="109" t="s">
        <v>5</v>
      </c>
      <c r="C10" s="65">
        <v>84504.2</v>
      </c>
      <c r="D10" s="67">
        <f t="shared" si="0"/>
        <v>2.0298040783608347E-5</v>
      </c>
      <c r="E10" s="110">
        <f>+ROUND(D10*'PART 2025'!D$13,2)</f>
        <v>5025.8599999999997</v>
      </c>
    </row>
    <row r="11" spans="1:5">
      <c r="A11" s="68">
        <v>18</v>
      </c>
      <c r="B11" s="109" t="s">
        <v>6</v>
      </c>
      <c r="C11" s="65">
        <v>1128781.53</v>
      </c>
      <c r="D11" s="67">
        <f t="shared" si="0"/>
        <v>2.7113508596879012E-4</v>
      </c>
      <c r="E11" s="110">
        <f>+ROUND(D11*'PART 2025'!D$13,2)</f>
        <v>67133.899999999994</v>
      </c>
    </row>
    <row r="12" spans="1:5">
      <c r="A12" s="68">
        <v>19</v>
      </c>
      <c r="B12" s="109" t="s">
        <v>117</v>
      </c>
      <c r="C12" s="65">
        <v>42606505</v>
      </c>
      <c r="D12" s="67">
        <f t="shared" si="0"/>
        <v>1.0234149026166902E-2</v>
      </c>
      <c r="E12" s="110">
        <f>+ROUND(D12*'PART 2025'!D$13,2)</f>
        <v>2534007.36</v>
      </c>
    </row>
    <row r="13" spans="1:5">
      <c r="A13" s="68">
        <v>20</v>
      </c>
      <c r="B13" s="109" t="s">
        <v>118</v>
      </c>
      <c r="C13" s="65">
        <v>15871063.68</v>
      </c>
      <c r="D13" s="67">
        <f t="shared" si="0"/>
        <v>3.8122542767801506E-3</v>
      </c>
      <c r="E13" s="110">
        <f>+ROUND(D13*'PART 2025'!D$13,2)</f>
        <v>943926.1</v>
      </c>
    </row>
    <row r="14" spans="1:5">
      <c r="A14" s="68">
        <v>23</v>
      </c>
      <c r="B14" s="109" t="s">
        <v>119</v>
      </c>
      <c r="C14" s="65">
        <v>520048.2</v>
      </c>
      <c r="D14" s="67">
        <f t="shared" si="0"/>
        <v>1.2491638963556972E-4</v>
      </c>
      <c r="E14" s="110">
        <f>+ROUND(D14*'PART 2025'!D$13,2)</f>
        <v>30929.69</v>
      </c>
    </row>
    <row r="15" spans="1:5">
      <c r="A15" s="68">
        <v>21</v>
      </c>
      <c r="B15" s="109" t="s">
        <v>7</v>
      </c>
      <c r="C15" s="65">
        <v>1042355.36</v>
      </c>
      <c r="D15" s="67">
        <f t="shared" si="0"/>
        <v>2.5037538499024617E-4</v>
      </c>
      <c r="E15" s="110">
        <f>+ROUND(D15*'PART 2025'!D$13,2)</f>
        <v>61993.73</v>
      </c>
    </row>
    <row r="16" spans="1:5">
      <c r="A16" s="68">
        <v>22</v>
      </c>
      <c r="B16" s="109" t="s">
        <v>120</v>
      </c>
      <c r="C16" s="65">
        <v>58209655.460000001</v>
      </c>
      <c r="D16" s="67">
        <f t="shared" si="0"/>
        <v>1.3982050129187311E-2</v>
      </c>
      <c r="E16" s="110">
        <f>+ROUND(D16*'PART 2025'!D$13,2)</f>
        <v>3461999.41</v>
      </c>
    </row>
    <row r="17" spans="1:5">
      <c r="A17" s="68">
        <v>25</v>
      </c>
      <c r="B17" s="109" t="s">
        <v>8</v>
      </c>
      <c r="C17" s="65">
        <v>117434.2</v>
      </c>
      <c r="D17" s="67">
        <f t="shared" si="0"/>
        <v>2.8207878200023427E-5</v>
      </c>
      <c r="E17" s="110">
        <f>+ROUND(D17*'PART 2025'!D$13,2)</f>
        <v>6984.36</v>
      </c>
    </row>
    <row r="18" spans="1:5">
      <c r="A18" s="68">
        <v>27</v>
      </c>
      <c r="B18" s="109" t="s">
        <v>9</v>
      </c>
      <c r="C18" s="65">
        <v>115114</v>
      </c>
      <c r="D18" s="67">
        <f t="shared" si="0"/>
        <v>2.7650562537297453E-5</v>
      </c>
      <c r="E18" s="110">
        <f>+ROUND(D18*'PART 2025'!D$13,2)</f>
        <v>6846.37</v>
      </c>
    </row>
    <row r="19" spans="1:5">
      <c r="A19" s="68">
        <v>26</v>
      </c>
      <c r="B19" s="109" t="s">
        <v>121</v>
      </c>
      <c r="C19" s="65">
        <v>2147224</v>
      </c>
      <c r="D19" s="67">
        <f t="shared" si="0"/>
        <v>5.1576655744380343E-4</v>
      </c>
      <c r="E19" s="110">
        <f>+ROUND(D19*'PART 2025'!D$13,2)</f>
        <v>127705.42</v>
      </c>
    </row>
    <row r="20" spans="1:5">
      <c r="A20" s="68">
        <v>29</v>
      </c>
      <c r="B20" s="109" t="s">
        <v>10</v>
      </c>
      <c r="C20" s="65">
        <v>488129.25</v>
      </c>
      <c r="D20" s="67">
        <f t="shared" si="0"/>
        <v>1.1724940800779318E-4</v>
      </c>
      <c r="E20" s="110">
        <f>+ROUND(D20*'PART 2025'!D$13,2)</f>
        <v>29031.32</v>
      </c>
    </row>
    <row r="21" spans="1:5">
      <c r="A21" s="68">
        <v>30</v>
      </c>
      <c r="B21" s="109" t="s">
        <v>122</v>
      </c>
      <c r="C21" s="65">
        <v>350144472.74000001</v>
      </c>
      <c r="D21" s="67">
        <f t="shared" si="0"/>
        <v>8.4105249062550291E-2</v>
      </c>
      <c r="E21" s="110">
        <f>+ROUND(D21*'PART 2025'!D$13,2)</f>
        <v>20824723.149999999</v>
      </c>
    </row>
    <row r="22" spans="1:5">
      <c r="A22" s="68">
        <v>32</v>
      </c>
      <c r="B22" s="109" t="s">
        <v>11</v>
      </c>
      <c r="C22" s="65">
        <v>341414.72</v>
      </c>
      <c r="D22" s="67">
        <f t="shared" si="0"/>
        <v>8.2008348823895433E-5</v>
      </c>
      <c r="E22" s="110">
        <f>+ROUND(D22*'PART 2025'!D$13,2)</f>
        <v>20305.52</v>
      </c>
    </row>
    <row r="23" spans="1:5">
      <c r="A23" s="68">
        <v>33</v>
      </c>
      <c r="B23" s="109" t="s">
        <v>12</v>
      </c>
      <c r="C23" s="65">
        <v>275224579.10000002</v>
      </c>
      <c r="D23" s="67">
        <f t="shared" si="0"/>
        <v>6.6109373631408175E-2</v>
      </c>
      <c r="E23" s="110">
        <f>+ROUND(D23*'PART 2025'!D$13,2)</f>
        <v>16368888.02</v>
      </c>
    </row>
    <row r="24" spans="1:5">
      <c r="A24" s="68">
        <v>34</v>
      </c>
      <c r="B24" s="109" t="s">
        <v>123</v>
      </c>
      <c r="C24" s="65">
        <v>1787247.7</v>
      </c>
      <c r="D24" s="67">
        <f t="shared" si="0"/>
        <v>4.2929968812213144E-4</v>
      </c>
      <c r="E24" s="110">
        <f>+ROUND(D24*'PART 2025'!D$13,2)</f>
        <v>106295.95</v>
      </c>
    </row>
    <row r="25" spans="1:5">
      <c r="A25" s="68">
        <v>35</v>
      </c>
      <c r="B25" s="109" t="s">
        <v>13</v>
      </c>
      <c r="C25" s="65">
        <v>38190</v>
      </c>
      <c r="D25" s="67">
        <f t="shared" si="0"/>
        <v>9.1732976293012995E-6</v>
      </c>
      <c r="E25" s="110">
        <f>+ROUND(D25*'PART 2025'!D$13,2)</f>
        <v>2271.34</v>
      </c>
    </row>
    <row r="26" spans="1:5">
      <c r="A26" s="68">
        <v>61</v>
      </c>
      <c r="B26" s="109" t="s">
        <v>14</v>
      </c>
      <c r="C26" s="65">
        <v>103809</v>
      </c>
      <c r="D26" s="67">
        <f t="shared" si="0"/>
        <v>2.4935083885837618E-5</v>
      </c>
      <c r="E26" s="110">
        <f>+ROUND(D26*'PART 2025'!D$13,2)</f>
        <v>6174</v>
      </c>
    </row>
    <row r="27" spans="1:5">
      <c r="A27" s="68">
        <v>36</v>
      </c>
      <c r="B27" s="109" t="s">
        <v>15</v>
      </c>
      <c r="C27" s="65">
        <v>44255073.039999999</v>
      </c>
      <c r="D27" s="67">
        <f t="shared" si="0"/>
        <v>1.0630137643424662E-2</v>
      </c>
      <c r="E27" s="110">
        <f>+ROUND(D27*'PART 2025'!D$13,2)</f>
        <v>2632055.38</v>
      </c>
    </row>
    <row r="28" spans="1:5">
      <c r="A28" s="68">
        <v>28</v>
      </c>
      <c r="B28" s="109" t="s">
        <v>16</v>
      </c>
      <c r="C28" s="65">
        <v>217945850.94999999</v>
      </c>
      <c r="D28" s="67">
        <f t="shared" si="0"/>
        <v>5.2350933695618988E-2</v>
      </c>
      <c r="E28" s="110">
        <f>+ROUND(D28*'PART 2025'!D$13,2)</f>
        <v>12962255.189999999</v>
      </c>
    </row>
    <row r="29" spans="1:5">
      <c r="A29" s="68">
        <v>37</v>
      </c>
      <c r="B29" s="109" t="s">
        <v>124</v>
      </c>
      <c r="C29" s="65">
        <v>36807</v>
      </c>
      <c r="D29" s="67">
        <f t="shared" si="0"/>
        <v>8.8410988699055493E-6</v>
      </c>
      <c r="E29" s="110">
        <f>+ROUND(D29*'PART 2025'!D$13,2)</f>
        <v>2189.08</v>
      </c>
    </row>
    <row r="30" spans="1:5">
      <c r="A30" s="68">
        <v>39</v>
      </c>
      <c r="B30" s="109" t="s">
        <v>17</v>
      </c>
      <c r="C30" s="65">
        <v>514512.97</v>
      </c>
      <c r="D30" s="67">
        <f t="shared" si="0"/>
        <v>1.2358681874694344E-4</v>
      </c>
      <c r="E30" s="110">
        <f>+ROUND(D30*'PART 2025'!D$13,2)</f>
        <v>30600.48</v>
      </c>
    </row>
    <row r="31" spans="1:5">
      <c r="A31" s="68">
        <v>38</v>
      </c>
      <c r="B31" s="109" t="s">
        <v>18</v>
      </c>
      <c r="C31" s="65">
        <v>96820.3</v>
      </c>
      <c r="D31" s="67">
        <f t="shared" si="0"/>
        <v>2.3256387233784777E-5</v>
      </c>
      <c r="E31" s="110">
        <f>+ROUND(D31*'PART 2025'!D$13,2)</f>
        <v>5758.35</v>
      </c>
    </row>
    <row r="32" spans="1:5">
      <c r="A32" s="68">
        <v>40</v>
      </c>
      <c r="B32" s="109" t="s">
        <v>19</v>
      </c>
      <c r="C32" s="65">
        <v>1073015.0900000001</v>
      </c>
      <c r="D32" s="67">
        <f t="shared" si="0"/>
        <v>2.577399000078953E-4</v>
      </c>
      <c r="E32" s="110">
        <f>+ROUND(D32*'PART 2025'!D$13,2)</f>
        <v>63817.21</v>
      </c>
    </row>
    <row r="33" spans="1:5">
      <c r="A33" s="68">
        <v>41</v>
      </c>
      <c r="B33" s="109" t="s">
        <v>20</v>
      </c>
      <c r="C33" s="65">
        <v>29061.26</v>
      </c>
      <c r="D33" s="67">
        <f t="shared" si="0"/>
        <v>6.9805600278216462E-6</v>
      </c>
      <c r="E33" s="110">
        <f>+ROUND(D33*'PART 2025'!D$13,2)</f>
        <v>1728.41</v>
      </c>
    </row>
    <row r="34" spans="1:5">
      <c r="A34" s="68">
        <v>42</v>
      </c>
      <c r="B34" s="109" t="s">
        <v>125</v>
      </c>
      <c r="C34" s="65">
        <v>130650068.81999999</v>
      </c>
      <c r="D34" s="67">
        <f t="shared" si="0"/>
        <v>3.1382350525649583E-2</v>
      </c>
      <c r="E34" s="110">
        <f>+ROUND(D34*'PART 2025'!D$13,2)</f>
        <v>7770368.2999999998</v>
      </c>
    </row>
    <row r="35" spans="1:5">
      <c r="A35" s="68">
        <v>43</v>
      </c>
      <c r="B35" s="109" t="s">
        <v>21</v>
      </c>
      <c r="C35" s="65">
        <v>406665.85</v>
      </c>
      <c r="D35" s="67">
        <f t="shared" si="0"/>
        <v>9.7681772132044976E-5</v>
      </c>
      <c r="E35" s="110">
        <f>+ROUND(D35*'PART 2025'!D$13,2)</f>
        <v>24186.31</v>
      </c>
    </row>
    <row r="36" spans="1:5">
      <c r="A36" s="68">
        <v>44</v>
      </c>
      <c r="B36" s="109" t="s">
        <v>22</v>
      </c>
      <c r="C36" s="65">
        <v>10430490</v>
      </c>
      <c r="D36" s="67">
        <f t="shared" si="0"/>
        <v>2.5054199840128543E-3</v>
      </c>
      <c r="E36" s="110">
        <f>+ROUND(D36*'PART 2025'!D$13,2)</f>
        <v>620349.84</v>
      </c>
    </row>
    <row r="37" spans="1:5">
      <c r="A37" s="68">
        <v>46</v>
      </c>
      <c r="B37" s="109" t="s">
        <v>126</v>
      </c>
      <c r="C37" s="65">
        <v>11186715.66</v>
      </c>
      <c r="D37" s="67">
        <f t="shared" si="0"/>
        <v>2.687066568304418E-3</v>
      </c>
      <c r="E37" s="110">
        <f>+ROUND(D37*'PART 2025'!D$13,2)</f>
        <v>665326.1</v>
      </c>
    </row>
    <row r="38" spans="1:5">
      <c r="A38" s="68">
        <v>49</v>
      </c>
      <c r="B38" s="109" t="s">
        <v>23</v>
      </c>
      <c r="C38" s="65">
        <v>93843.85</v>
      </c>
      <c r="D38" s="67">
        <f t="shared" si="0"/>
        <v>2.254143929639976E-5</v>
      </c>
      <c r="E38" s="110">
        <f>+ROUND(D38*'PART 2025'!D$13,2)</f>
        <v>5581.33</v>
      </c>
    </row>
    <row r="39" spans="1:5">
      <c r="A39" s="68">
        <v>48</v>
      </c>
      <c r="B39" s="109" t="s">
        <v>24</v>
      </c>
      <c r="C39" s="65">
        <v>6476</v>
      </c>
      <c r="D39" s="67">
        <f t="shared" si="0"/>
        <v>1.5555453115306419E-6</v>
      </c>
      <c r="E39" s="110">
        <f>+ROUND(D39*'PART 2025'!D$13,2)</f>
        <v>385.16</v>
      </c>
    </row>
    <row r="40" spans="1:5">
      <c r="A40" s="68">
        <v>47</v>
      </c>
      <c r="B40" s="109" t="s">
        <v>25</v>
      </c>
      <c r="C40" s="65">
        <v>261990.39999999999</v>
      </c>
      <c r="D40" s="67">
        <f t="shared" si="0"/>
        <v>6.2930503147936613E-5</v>
      </c>
      <c r="E40" s="110">
        <f>+ROUND(D40*'PART 2025'!D$13,2)</f>
        <v>15581.79</v>
      </c>
    </row>
    <row r="41" spans="1:5">
      <c r="A41" s="68">
        <v>45</v>
      </c>
      <c r="B41" s="109" t="s">
        <v>26</v>
      </c>
      <c r="C41" s="65">
        <v>49771176</v>
      </c>
      <c r="D41" s="67">
        <f t="shared" si="0"/>
        <v>1.195511418717826E-2</v>
      </c>
      <c r="E41" s="110">
        <f>+ROUND(D41*'PART 2025'!D$13,2)</f>
        <v>2960123.73</v>
      </c>
    </row>
    <row r="42" spans="1:5">
      <c r="A42" s="68">
        <v>70</v>
      </c>
      <c r="B42" s="109" t="s">
        <v>27</v>
      </c>
      <c r="C42" s="65">
        <v>861824024</v>
      </c>
      <c r="D42" s="67">
        <f t="shared" si="0"/>
        <v>0.20701147620408761</v>
      </c>
      <c r="E42" s="110">
        <f>+ROUND(D42*'PART 2025'!D$13,2)</f>
        <v>51256690.030000001</v>
      </c>
    </row>
    <row r="43" spans="1:5">
      <c r="A43" s="68">
        <v>50</v>
      </c>
      <c r="B43" s="109" t="s">
        <v>127</v>
      </c>
      <c r="C43" s="65">
        <v>165057.57999999999</v>
      </c>
      <c r="D43" s="67">
        <f t="shared" si="0"/>
        <v>3.964708843446477E-5</v>
      </c>
      <c r="E43" s="110">
        <f>+ROUND(D43*'PART 2025'!D$13,2)</f>
        <v>9816.74</v>
      </c>
    </row>
    <row r="44" spans="1:5">
      <c r="A44" s="68">
        <v>51</v>
      </c>
      <c r="B44" s="109" t="s">
        <v>128</v>
      </c>
      <c r="C44" s="65">
        <v>91525068.099999994</v>
      </c>
      <c r="D44" s="67">
        <f t="shared" si="0"/>
        <v>2.1984464263507985E-2</v>
      </c>
      <c r="E44" s="110">
        <f>+ROUND(D44*'PART 2025'!D$13,2)</f>
        <v>5443422.2199999997</v>
      </c>
    </row>
    <row r="45" spans="1:5">
      <c r="A45" s="68">
        <v>52</v>
      </c>
      <c r="B45" s="109" t="s">
        <v>129</v>
      </c>
      <c r="C45" s="65">
        <v>829857.01</v>
      </c>
      <c r="D45" s="67">
        <f t="shared" si="0"/>
        <v>1.9933294952846465E-4</v>
      </c>
      <c r="E45" s="110">
        <f>+ROUND(D45*'PART 2025'!D$13,2)</f>
        <v>49355.46</v>
      </c>
    </row>
    <row r="46" spans="1:5">
      <c r="A46" s="68">
        <v>53</v>
      </c>
      <c r="B46" s="109" t="s">
        <v>28</v>
      </c>
      <c r="C46" s="65">
        <v>30144</v>
      </c>
      <c r="D46" s="67">
        <f t="shared" si="0"/>
        <v>7.2406358663958728E-6</v>
      </c>
      <c r="E46" s="110">
        <f>+ROUND(D46*'PART 2025'!D$13,2)</f>
        <v>1792.8</v>
      </c>
    </row>
    <row r="47" spans="1:5">
      <c r="A47" s="68">
        <v>54</v>
      </c>
      <c r="B47" s="109" t="s">
        <v>29</v>
      </c>
      <c r="C47" s="65">
        <v>7231139.3600000003</v>
      </c>
      <c r="D47" s="67">
        <f t="shared" si="0"/>
        <v>1.7369309648660727E-3</v>
      </c>
      <c r="E47" s="110">
        <f>+ROUND(D47*'PART 2025'!D$13,2)</f>
        <v>430069.55</v>
      </c>
    </row>
    <row r="48" spans="1:5">
      <c r="A48" s="68">
        <v>55</v>
      </c>
      <c r="B48" s="109" t="s">
        <v>30</v>
      </c>
      <c r="C48" s="65">
        <v>167691153</v>
      </c>
      <c r="D48" s="67">
        <f t="shared" si="0"/>
        <v>4.027967678108671E-2</v>
      </c>
      <c r="E48" s="110">
        <f>+ROUND(D48*'PART 2025'!D$13,2)</f>
        <v>9973374.1600000001</v>
      </c>
    </row>
    <row r="49" spans="1:5">
      <c r="A49" s="68">
        <v>58</v>
      </c>
      <c r="B49" s="109" t="s">
        <v>130</v>
      </c>
      <c r="C49" s="65">
        <v>137291613</v>
      </c>
      <c r="D49" s="67">
        <f t="shared" si="0"/>
        <v>3.2977659807694459E-2</v>
      </c>
      <c r="E49" s="110">
        <f>+ROUND(D49*'PART 2025'!D$13,2)</f>
        <v>8165371.8799999999</v>
      </c>
    </row>
    <row r="50" spans="1:5">
      <c r="A50" s="68">
        <v>31</v>
      </c>
      <c r="B50" s="109" t="s">
        <v>131</v>
      </c>
      <c r="C50" s="65">
        <v>619578373.61000001</v>
      </c>
      <c r="D50" s="67">
        <f t="shared" si="0"/>
        <v>0.1488236927416331</v>
      </c>
      <c r="E50" s="110">
        <f>+ROUND(D50*'PART 2025'!D$13,2)</f>
        <v>36849212.560000002</v>
      </c>
    </row>
    <row r="51" spans="1:5">
      <c r="A51" s="68">
        <v>57</v>
      </c>
      <c r="B51" s="109" t="s">
        <v>31</v>
      </c>
      <c r="C51" s="65">
        <v>398666023.39999998</v>
      </c>
      <c r="D51" s="67">
        <f t="shared" si="0"/>
        <v>9.576020129191401E-2</v>
      </c>
      <c r="E51" s="110">
        <f>+ROUND(D51*'PART 2025'!D$13,2)</f>
        <v>23710525.84</v>
      </c>
    </row>
    <row r="52" spans="1:5">
      <c r="A52" s="68">
        <v>56</v>
      </c>
      <c r="B52" s="109" t="s">
        <v>32</v>
      </c>
      <c r="C52" s="65">
        <v>151351766.31999999</v>
      </c>
      <c r="D52" s="67">
        <f t="shared" si="0"/>
        <v>3.6354930588473951E-2</v>
      </c>
      <c r="E52" s="110">
        <f>+ROUND(D52*'PART 2025'!D$13,2)</f>
        <v>9001594.7100000009</v>
      </c>
    </row>
    <row r="53" spans="1:5">
      <c r="A53" s="68">
        <v>59</v>
      </c>
      <c r="B53" s="109" t="s">
        <v>33</v>
      </c>
      <c r="C53" s="65">
        <v>1105814.57</v>
      </c>
      <c r="D53" s="67">
        <f t="shared" si="0"/>
        <v>2.6561838631651834E-4</v>
      </c>
      <c r="E53" s="110">
        <f>+ROUND(D53*'PART 2025'!D$13,2)</f>
        <v>65767.94</v>
      </c>
    </row>
    <row r="54" spans="1:5">
      <c r="A54" s="68">
        <v>60</v>
      </c>
      <c r="B54" s="109" t="s">
        <v>34</v>
      </c>
      <c r="C54" s="65">
        <v>978414.28</v>
      </c>
      <c r="D54" s="67">
        <f t="shared" si="0"/>
        <v>2.3501663773758936E-4</v>
      </c>
      <c r="E54" s="110">
        <f>+ROUND(D54*'PART 2025'!D$13,2)</f>
        <v>58190.86</v>
      </c>
    </row>
    <row r="55" spans="1:5">
      <c r="B55" s="111" t="s">
        <v>168</v>
      </c>
      <c r="C55" s="112">
        <f>+SUM(C4:C54)</f>
        <v>4163170273.4700007</v>
      </c>
      <c r="D55" s="113">
        <f>SUM(D4:D54)</f>
        <v>0.99999999999999978</v>
      </c>
      <c r="E55" s="114">
        <f>SUM(E4:E54)</f>
        <v>247603132.77000004</v>
      </c>
    </row>
  </sheetData>
  <mergeCells count="2">
    <mergeCell ref="B1:E1"/>
    <mergeCell ref="B2:E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orientation="portrait" r:id="rId1"/>
  <headerFooter>
    <oddHeader>&amp;LAnexo I&amp;C&amp;"-,Negrita"&amp;12COORDINACIÓN DE PLANEACIÓN HACENDARIA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PART 2025</vt:lpstr>
      <vt:lpstr>Dist</vt:lpstr>
      <vt:lpstr>COEF Art 14 F I</vt:lpstr>
      <vt:lpstr>PISO 2021</vt:lpstr>
      <vt:lpstr>Copete</vt:lpstr>
      <vt:lpstr>COEF Art 14 F II</vt:lpstr>
      <vt:lpstr>Art.14 Frac.III</vt:lpstr>
      <vt:lpstr>ISR BI</vt:lpstr>
      <vt:lpstr>'Art.14 Frac.III'!Área_de_impresión</vt:lpstr>
      <vt:lpstr>'COEF Art 14 F I'!Área_de_impresión</vt:lpstr>
      <vt:lpstr>'COEF Art 14 F II'!Área_de_impresión</vt:lpstr>
      <vt:lpstr>Copete!Área_de_impresión</vt:lpstr>
      <vt:lpstr>Dist!Área_de_impresión</vt:lpstr>
      <vt:lpstr>'ISR BI'!Área_de_impresión</vt:lpstr>
      <vt:lpstr>'PART 2025'!Área_de_impresión</vt:lpstr>
      <vt:lpstr>'PISO 2021'!Área_de_impresión</vt:lpstr>
      <vt:lpstr>'Art.14 Frac.III'!Títulos_a_imprimir</vt:lpstr>
      <vt:lpstr>'COEF Art 14 F I'!Títulos_a_imprimir</vt:lpstr>
      <vt:lpstr>Dist!Títulos_a_imprimir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Oswaldo Calzada Alba</cp:lastModifiedBy>
  <cp:lastPrinted>2025-01-30T16:21:00Z</cp:lastPrinted>
  <dcterms:created xsi:type="dcterms:W3CDTF">2009-12-17T23:31:03Z</dcterms:created>
  <dcterms:modified xsi:type="dcterms:W3CDTF">2025-02-04T16:51:00Z</dcterms:modified>
</cp:coreProperties>
</file>