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017\Desktop\2025 PLANEACION HACENDARIA\AJUSTE SEMESTRAL\"/>
    </mc:Choice>
  </mc:AlternateContent>
  <bookViews>
    <workbookView xWindow="-120" yWindow="-120" windowWidth="20730" windowHeight="11760"/>
  </bookViews>
  <sheets>
    <sheet name="SALDOS" sheetId="54" r:id="rId1"/>
    <sheet name="PART 2025" sheetId="43" r:id="rId2"/>
    <sheet name="DISTRIBUCION" sheetId="55" r:id="rId3"/>
    <sheet name="DIST VER ACTUAL" sheetId="51" r:id="rId4"/>
    <sheet name="COEF Art 14 F I" sheetId="1" r:id="rId5"/>
    <sheet name="PISO 2021" sheetId="28" r:id="rId6"/>
    <sheet name="Copete" sheetId="52" r:id="rId7"/>
    <sheet name="COEF Art 14 F II" sheetId="36" r:id="rId8"/>
    <sheet name="Art.14 Frac.III" sheetId="44" r:id="rId9"/>
    <sheet name="ISR BI" sheetId="56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____pre2004" localSheetId="9" hidden="1">{"'beneficiarios'!$A$1:$C$7"}</definedName>
    <definedName name="_____pre2004" hidden="1">{"'beneficiarios'!$A$1:$C$7"}</definedName>
    <definedName name="____pre2004" localSheetId="9" hidden="1">{"'beneficiarios'!$A$1:$C$7"}</definedName>
    <definedName name="____pre2004" hidden="1">{"'beneficiarios'!$A$1:$C$7"}</definedName>
    <definedName name="___pre2004" localSheetId="9" hidden="1">{"'beneficiarios'!$A$1:$C$7"}</definedName>
    <definedName name="___pre2004" hidden="1">{"'beneficiarios'!$A$1:$C$7"}</definedName>
    <definedName name="__pre2004" localSheetId="9" hidden="1">{"'beneficiarios'!$A$1:$C$7"}</definedName>
    <definedName name="__pre2004" hidden="1">{"'beneficiarios'!$A$1:$C$7"}</definedName>
    <definedName name="_xlnm._FilterDatabase" localSheetId="3" hidden="1">'DIST VER ACTUAL'!#REF!</definedName>
    <definedName name="_xlnm._FilterDatabase" localSheetId="0" hidden="1">SALDOS!#REF!</definedName>
    <definedName name="_pre2004" localSheetId="9" hidden="1">{"'beneficiarios'!$A$1:$C$7"}</definedName>
    <definedName name="_pre2004" hidden="1">{"'beneficiarios'!$A$1:$C$7"}</definedName>
    <definedName name="A_impresión_IM" localSheetId="7">#REF!</definedName>
    <definedName name="A_impresión_IM" localSheetId="6">#REF!</definedName>
    <definedName name="A_impresión_IM" localSheetId="3">#REF!</definedName>
    <definedName name="A_impresión_IM" localSheetId="2">#REF!</definedName>
    <definedName name="A_impresión_IM" localSheetId="9">#REF!</definedName>
    <definedName name="A_impresión_IM" localSheetId="1">#REF!</definedName>
    <definedName name="A_impresión_IM" localSheetId="5">#REF!</definedName>
    <definedName name="A_impresión_IM" localSheetId="0">#REF!</definedName>
    <definedName name="A_impresión_IM">#REF!</definedName>
    <definedName name="abril">#REF!</definedName>
    <definedName name="Adria" localSheetId="9" hidden="1">{"'beneficiarios'!$A$1:$C$7"}</definedName>
    <definedName name="Adria" hidden="1">{"'beneficiarios'!$A$1:$C$7"}</definedName>
    <definedName name="AJUSTES" localSheetId="6" hidden="1">{"'beneficiarios'!$A$1:$C$7"}</definedName>
    <definedName name="AJUSTES" localSheetId="3" hidden="1">{"'beneficiarios'!$A$1:$C$7"}</definedName>
    <definedName name="AJUSTES" localSheetId="9" hidden="1">{"'beneficiarios'!$A$1:$C$7"}</definedName>
    <definedName name="AJUSTES" localSheetId="1" hidden="1">{"'beneficiarios'!$A$1:$C$7"}</definedName>
    <definedName name="AJUSTES" localSheetId="5" hidden="1">{"'beneficiarios'!$A$1:$C$7"}</definedName>
    <definedName name="AJUSTES" localSheetId="0" hidden="1">{"'beneficiarios'!$A$1:$C$7"}</definedName>
    <definedName name="AJUSTES" hidden="1">{"'beneficiarios'!$A$1:$C$7"}</definedName>
    <definedName name="_xlnm.Print_Area" localSheetId="8">'Art.14 Frac.III'!$B$1:$P$56</definedName>
    <definedName name="_xlnm.Print_Area" localSheetId="4">'COEF Art 14 F I'!$B$2:$AD$59</definedName>
    <definedName name="_xlnm.Print_Area" localSheetId="7">'COEF Art 14 F II'!$B$1:$L$61</definedName>
    <definedName name="_xlnm.Print_Area" localSheetId="6">Copete!$B$1:$H$59</definedName>
    <definedName name="_xlnm.Print_Area" localSheetId="3">'DIST VER ACTUAL'!$B$2:$L$59</definedName>
    <definedName name="_xlnm.Print_Area" localSheetId="2">DISTRIBUCION!$B$1:$L$59</definedName>
    <definedName name="_xlnm.Print_Area" localSheetId="9">'ISR BI'!$B$1:$E$55</definedName>
    <definedName name="_xlnm.Print_Area" localSheetId="1">'PART 2025'!$A$1:$I$29</definedName>
    <definedName name="_xlnm.Print_Area" localSheetId="5">'PISO 2021'!$B$1:$Q$56</definedName>
    <definedName name="_xlnm.Print_Area" localSheetId="0">SALDOS!$B$2:$L$58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2">#REF!</definedName>
    <definedName name="_xlnm.Database" localSheetId="9">#REF!</definedName>
    <definedName name="_xlnm.Database" localSheetId="1">#REF!</definedName>
    <definedName name="_xlnm.Database" localSheetId="5">#REF!</definedName>
    <definedName name="_xlnm.Database" localSheetId="0">#REF!</definedName>
    <definedName name="_xlnm.Database">#REF!</definedName>
    <definedName name="cierre_2001" localSheetId="7">'[1]deuda c sadm'!#REF!</definedName>
    <definedName name="cierre_2001" localSheetId="6">'[1]deuda c sadm'!#REF!</definedName>
    <definedName name="cierre_2001" localSheetId="3">'[1]deuda c sadm'!#REF!</definedName>
    <definedName name="cierre_2001" localSheetId="9">'[1]deuda c sadm'!#REF!</definedName>
    <definedName name="cierre_2001" localSheetId="1">'[1]deuda c sadm'!#REF!</definedName>
    <definedName name="cierre_2001" localSheetId="0">'[1]deuda c sadm'!#REF!</definedName>
    <definedName name="cierre_2001">'[1]deuda c sadm'!#REF!</definedName>
    <definedName name="deuda" localSheetId="7">'[1]deuda c sadm'!#REF!</definedName>
    <definedName name="deuda" localSheetId="6">'[1]deuda c sadm'!#REF!</definedName>
    <definedName name="deuda" localSheetId="3">'[1]deuda c sadm'!#REF!</definedName>
    <definedName name="deuda" localSheetId="9">'[1]deuda c sadm'!#REF!</definedName>
    <definedName name="deuda" localSheetId="1">'[1]deuda c sadm'!#REF!</definedName>
    <definedName name="deuda" localSheetId="0">'[1]deuda c sadm'!#REF!</definedName>
    <definedName name="deuda">'[1]deuda c sadm'!#REF!</definedName>
    <definedName name="Deuda_ingTot" localSheetId="7">'[1]deuda c sadm'!#REF!</definedName>
    <definedName name="Deuda_ingTot" localSheetId="6">'[1]deuda c sadm'!#REF!</definedName>
    <definedName name="Deuda_ingTot" localSheetId="3">'[1]deuda c sadm'!#REF!</definedName>
    <definedName name="Deuda_ingTot" localSheetId="9">'[1]deuda c sadm'!#REF!</definedName>
    <definedName name="Deuda_ingTot" localSheetId="1">'[1]deuda c sadm'!#REF!</definedName>
    <definedName name="Deuda_ingTot" localSheetId="0">'[1]deuda c sadm'!#REF!</definedName>
    <definedName name="Deuda_ingTot">'[1]deuda c sadm'!#REF!</definedName>
    <definedName name="eeee" localSheetId="9" hidden="1">{"'beneficiarios'!$A$1:$C$7"}</definedName>
    <definedName name="eeee" hidden="1">{"'beneficiarios'!$A$1:$C$7"}</definedName>
    <definedName name="ENERO" localSheetId="7">#REF!</definedName>
    <definedName name="ENERO" localSheetId="6">#REF!</definedName>
    <definedName name="ENERO" localSheetId="3">#REF!</definedName>
    <definedName name="ENERO" localSheetId="2">#REF!</definedName>
    <definedName name="ENERO" localSheetId="9">#REF!</definedName>
    <definedName name="ENERO" localSheetId="1">#REF!</definedName>
    <definedName name="ENERO" localSheetId="5">#REF!</definedName>
    <definedName name="ENERO" localSheetId="0">#REF!</definedName>
    <definedName name="ENERO">#REF!</definedName>
    <definedName name="ENEROAJUSTE" localSheetId="6">#REF!</definedName>
    <definedName name="ENEROAJUSTE" localSheetId="3">#REF!</definedName>
    <definedName name="ENEROAJUSTE" localSheetId="2">#REF!</definedName>
    <definedName name="ENEROAJUSTE" localSheetId="9">#REF!</definedName>
    <definedName name="ENEROAJUSTE" localSheetId="1">#REF!</definedName>
    <definedName name="ENEROAJUSTE" localSheetId="0">#REF!</definedName>
    <definedName name="ENEROAJUSTE">#REF!</definedName>
    <definedName name="Estado" localSheetId="2">#REF!</definedName>
    <definedName name="Estado">'[2]Compendio de nombres'!$C$2:$C$33</definedName>
    <definedName name="Estado1" localSheetId="6">#REF!</definedName>
    <definedName name="Estado1" localSheetId="3">#REF!</definedName>
    <definedName name="Estado1" localSheetId="2">#REF!</definedName>
    <definedName name="Estado1" localSheetId="9">#REF!</definedName>
    <definedName name="Estado1" localSheetId="0">#REF!</definedName>
    <definedName name="Estado1">#REF!</definedName>
    <definedName name="ewee" localSheetId="9" hidden="1">{"'beneficiarios'!$A$1:$C$7"}</definedName>
    <definedName name="ewee" hidden="1">{"'beneficiarios'!$A$1:$C$7"}</definedName>
    <definedName name="Fto_1" localSheetId="7">#REF!</definedName>
    <definedName name="Fto_1" localSheetId="6">#REF!</definedName>
    <definedName name="Fto_1" localSheetId="3">#REF!</definedName>
    <definedName name="Fto_1" localSheetId="2">#REF!</definedName>
    <definedName name="Fto_1" localSheetId="9">#REF!</definedName>
    <definedName name="Fto_1" localSheetId="1">#REF!</definedName>
    <definedName name="Fto_1" localSheetId="5">#REF!</definedName>
    <definedName name="Fto_1" localSheetId="0">#REF!</definedName>
    <definedName name="Fto_1">#REF!</definedName>
    <definedName name="HTML_CodePage" hidden="1">1252</definedName>
    <definedName name="HTML_Control" localSheetId="6" hidden="1">{"'beneficiarios'!$A$1:$C$7"}</definedName>
    <definedName name="HTML_Control" localSheetId="3" hidden="1">{"'beneficiarios'!$A$1:$C$7"}</definedName>
    <definedName name="HTML_Control" localSheetId="9" hidden="1">{"'beneficiarios'!$A$1:$C$7"}</definedName>
    <definedName name="HTML_Control" localSheetId="1" hidden="1">{"'beneficiarios'!$A$1:$C$7"}</definedName>
    <definedName name="HTML_Control" localSheetId="5" hidden="1">{"'beneficiarios'!$A$1:$C$7"}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localSheetId="2">#REF!</definedName>
    <definedName name="HTML_LineAfter" hidden="1">FALSE</definedName>
    <definedName name="HTML_LineBefore" localSheetId="2">#REF!</definedName>
    <definedName name="HTML_LineBefore" hidden="1">FALSE</definedName>
    <definedName name="HTML_Name" hidden="1">"unisys20"</definedName>
    <definedName name="HTML_OBDlg2" localSheetId="2">#REF!</definedName>
    <definedName name="HTML_OBDlg2" hidden="1">TRUE</definedName>
    <definedName name="HTML_OBDlg4" localSheetId="2">#REF!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DICADORES" localSheetId="6" hidden="1">{"'beneficiarios'!$A$1:$C$7"}</definedName>
    <definedName name="INDICADORES" localSheetId="3" hidden="1">{"'beneficiarios'!$A$1:$C$7"}</definedName>
    <definedName name="INDICADORES" localSheetId="9" hidden="1">{"'beneficiarios'!$A$1:$C$7"}</definedName>
    <definedName name="INDICADORES" localSheetId="1" hidden="1">{"'beneficiarios'!$A$1:$C$7"}</definedName>
    <definedName name="INDICADORES" localSheetId="5" hidden="1">{"'beneficiarios'!$A$1:$C$7"}</definedName>
    <definedName name="INDICADORES" localSheetId="0" hidden="1">{"'beneficiarios'!$A$1:$C$7"}</definedName>
    <definedName name="INDICADORES" hidden="1">{"'beneficiarios'!$A$1:$C$7"}</definedName>
    <definedName name="ingresofederales" localSheetId="6" hidden="1">{"'beneficiarios'!$A$1:$C$7"}</definedName>
    <definedName name="ingresofederales" localSheetId="3" hidden="1">{"'beneficiarios'!$A$1:$C$7"}</definedName>
    <definedName name="ingresofederales" localSheetId="9" hidden="1">{"'beneficiarios'!$A$1:$C$7"}</definedName>
    <definedName name="ingresofederales" localSheetId="1" hidden="1">{"'beneficiarios'!$A$1:$C$7"}</definedName>
    <definedName name="ingresofederales" localSheetId="5" hidden="1">{"'beneficiarios'!$A$1:$C$7"}</definedName>
    <definedName name="ingresofederales" localSheetId="0" hidden="1">{"'beneficiarios'!$A$1:$C$7"}</definedName>
    <definedName name="ingresofederales" hidden="1">{"'beneficiarios'!$A$1:$C$7"}</definedName>
    <definedName name="MUNICIPIOS" localSheetId="8">[3]IMPORTE!$A$3:$A$53</definedName>
    <definedName name="MUNICIPIOS" localSheetId="9" hidden="1">{"'beneficiarios'!$A$1:$C$7"}</definedName>
    <definedName name="MUNICIPIOS" hidden="1">{"'beneficiarios'!$A$1:$C$7"}</definedName>
    <definedName name="Notas_Fto_1" localSheetId="7">#REF!</definedName>
    <definedName name="Notas_Fto_1" localSheetId="6">#REF!</definedName>
    <definedName name="Notas_Fto_1" localSheetId="3">#REF!</definedName>
    <definedName name="Notas_Fto_1" localSheetId="2">#REF!</definedName>
    <definedName name="Notas_Fto_1" localSheetId="9">#REF!</definedName>
    <definedName name="Notas_Fto_1" localSheetId="1">#REF!</definedName>
    <definedName name="Notas_Fto_1" localSheetId="0">#REF!</definedName>
    <definedName name="Notas_Fto_1">#REF!</definedName>
    <definedName name="nument">[4]Hoja1!$C$1</definedName>
    <definedName name="numnivel">[4]Hoja1!$G$1</definedName>
    <definedName name="Partidas">[5]TECHO!$B$1:$Q$2798</definedName>
    <definedName name="PRONGPOS" localSheetId="9">[4]GRUPOS!#REF!</definedName>
    <definedName name="PRONGPOS" localSheetId="0">[4]GRUPOS!#REF!</definedName>
    <definedName name="PRONGPOS">[4]GRUPOS!#REF!</definedName>
    <definedName name="Reclasificado2006" localSheetId="9" hidden="1">{"'beneficiarios'!$A$1:$C$7"}</definedName>
    <definedName name="Reclasificado2006" hidden="1">{"'beneficiarios'!$A$1:$C$7"}</definedName>
    <definedName name="SINAJUSTE" localSheetId="6" hidden="1">{"'beneficiarios'!$A$1:$C$7"}</definedName>
    <definedName name="SINAJUSTE" localSheetId="3" hidden="1">{"'beneficiarios'!$A$1:$C$7"}</definedName>
    <definedName name="SINAJUSTE" localSheetId="9" hidden="1">{"'beneficiarios'!$A$1:$C$7"}</definedName>
    <definedName name="SINAJUSTE" localSheetId="1" hidden="1">{"'beneficiarios'!$A$1:$C$7"}</definedName>
    <definedName name="SINAJUSTE" localSheetId="5" hidden="1">{"'beneficiarios'!$A$1:$C$7"}</definedName>
    <definedName name="SINAJUSTE" localSheetId="0" hidden="1">{"'beneficiarios'!$A$1:$C$7"}</definedName>
    <definedName name="SINAJUSTE" hidden="1">{"'beneficiarios'!$A$1:$C$7"}</definedName>
    <definedName name="t" localSheetId="6">#REF!</definedName>
    <definedName name="t" localSheetId="3">#REF!</definedName>
    <definedName name="t" localSheetId="2">#REF!</definedName>
    <definedName name="t" localSheetId="9">#REF!</definedName>
    <definedName name="t" localSheetId="1">#REF!</definedName>
    <definedName name="t" localSheetId="0">#REF!</definedName>
    <definedName name="t">#REF!</definedName>
    <definedName name="_xlnm.Print_Titles" localSheetId="8">'Art.14 Frac.III'!$B:$B</definedName>
    <definedName name="_xlnm.Print_Titles" localSheetId="4">'COEF Art 14 F I'!$B:$B,'COEF Art 14 F I'!$2:$2</definedName>
    <definedName name="_xlnm.Print_Titles" localSheetId="3">'DIST VER ACTUAL'!$B:$B</definedName>
    <definedName name="_xlnm.Print_Titles" localSheetId="2">DISTRIBUCION!$1:$1</definedName>
    <definedName name="_xlnm.Print_Titles" localSheetId="1">'PART 2025'!$A:$A</definedName>
    <definedName name="_xlnm.Print_Titles" localSheetId="0">SALDOS!$B:$B</definedName>
    <definedName name="TOT" localSheetId="7">#REF!</definedName>
    <definedName name="TOT" localSheetId="6">#REF!</definedName>
    <definedName name="TOT" localSheetId="3">#REF!</definedName>
    <definedName name="TOT" localSheetId="2">#REF!</definedName>
    <definedName name="TOT" localSheetId="9">#REF!</definedName>
    <definedName name="TOT" localSheetId="1">#REF!</definedName>
    <definedName name="TOT" localSheetId="0">#REF!</definedName>
    <definedName name="TOT">#REF!</definedName>
    <definedName name="TOTAL" localSheetId="7">#REF!</definedName>
    <definedName name="TOTAL" localSheetId="6">#REF!</definedName>
    <definedName name="TOTAL" localSheetId="3">#REF!</definedName>
    <definedName name="TOTAL" localSheetId="2">#REF!</definedName>
    <definedName name="TOTAL" localSheetId="9">#REF!</definedName>
    <definedName name="TOTAL" localSheetId="1">#REF!</definedName>
    <definedName name="TOTAL" localSheetId="0">#REF!</definedName>
    <definedName name="TOTAL">#REF!</definedName>
    <definedName name="UNO">#REF!</definedName>
    <definedName name="wrn.a." localSheetId="9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xx" localSheetId="9" hidden="1">{"'beneficiarios'!$A$1:$C$7"}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55" l="1"/>
  <c r="L8" i="55"/>
  <c r="L9" i="55"/>
  <c r="L10" i="55"/>
  <c r="L11" i="55"/>
  <c r="L12" i="55"/>
  <c r="L13" i="55"/>
  <c r="L14" i="55"/>
  <c r="L15" i="55"/>
  <c r="L16" i="55"/>
  <c r="L17" i="55"/>
  <c r="L18" i="55"/>
  <c r="L19" i="55"/>
  <c r="L20" i="55"/>
  <c r="L21" i="55"/>
  <c r="L22" i="55"/>
  <c r="L23" i="55"/>
  <c r="L24" i="55"/>
  <c r="L25" i="55"/>
  <c r="L26" i="55"/>
  <c r="L27" i="55"/>
  <c r="L28" i="55"/>
  <c r="L29" i="55"/>
  <c r="L30" i="55"/>
  <c r="L31" i="55"/>
  <c r="L32" i="55"/>
  <c r="L33" i="55"/>
  <c r="L34" i="55"/>
  <c r="L35" i="55"/>
  <c r="L36" i="55"/>
  <c r="L37" i="55"/>
  <c r="L38" i="55"/>
  <c r="L39" i="55"/>
  <c r="L40" i="55"/>
  <c r="L41" i="55"/>
  <c r="L42" i="55"/>
  <c r="L43" i="55"/>
  <c r="L44" i="55"/>
  <c r="L45" i="55"/>
  <c r="L46" i="55"/>
  <c r="L47" i="55"/>
  <c r="L48" i="55"/>
  <c r="L49" i="55"/>
  <c r="L50" i="55"/>
  <c r="L51" i="55"/>
  <c r="L52" i="55"/>
  <c r="L53" i="55"/>
  <c r="L54" i="55"/>
  <c r="L55" i="55"/>
  <c r="L56" i="55"/>
  <c r="L6" i="55"/>
  <c r="L57" i="55" s="1"/>
  <c r="C55" i="56" l="1"/>
  <c r="D6" i="56" s="1"/>
  <c r="D28" i="56" l="1"/>
  <c r="D42" i="56"/>
  <c r="D53" i="56"/>
  <c r="D12" i="56"/>
  <c r="D26" i="56"/>
  <c r="D50" i="56"/>
  <c r="D10" i="56"/>
  <c r="D8" i="56"/>
  <c r="D29" i="56"/>
  <c r="D17" i="56"/>
  <c r="D13" i="56"/>
  <c r="D27" i="56"/>
  <c r="D40" i="56"/>
  <c r="D37" i="56"/>
  <c r="D11" i="56"/>
  <c r="D5" i="56"/>
  <c r="D43" i="56"/>
  <c r="D52" i="56"/>
  <c r="D51" i="56"/>
  <c r="D36" i="56"/>
  <c r="D24" i="56"/>
  <c r="D49" i="56"/>
  <c r="D35" i="56"/>
  <c r="D21" i="56"/>
  <c r="D48" i="56"/>
  <c r="D45" i="56"/>
  <c r="D20" i="56"/>
  <c r="D19" i="56"/>
  <c r="D44" i="56"/>
  <c r="D33" i="56"/>
  <c r="D16" i="56"/>
  <c r="D41" i="56"/>
  <c r="D25" i="56"/>
  <c r="D9" i="56"/>
  <c r="D34" i="56"/>
  <c r="D32" i="56"/>
  <c r="D18" i="56"/>
  <c r="D4" i="56"/>
  <c r="D47" i="56"/>
  <c r="D39" i="56"/>
  <c r="D31" i="56"/>
  <c r="D23" i="56"/>
  <c r="D15" i="56"/>
  <c r="D7" i="56"/>
  <c r="D54" i="56"/>
  <c r="D46" i="56"/>
  <c r="D38" i="56"/>
  <c r="D30" i="56"/>
  <c r="D22" i="56"/>
  <c r="D14" i="56"/>
  <c r="D55" i="56" l="1"/>
  <c r="D57" i="55" l="1"/>
  <c r="E57" i="55"/>
  <c r="F57" i="55"/>
  <c r="G57" i="55"/>
  <c r="H57" i="55"/>
  <c r="I57" i="55"/>
  <c r="J57" i="55"/>
  <c r="K57" i="55"/>
  <c r="C57" i="55"/>
  <c r="E27" i="43" l="1"/>
  <c r="C57" i="56" s="1"/>
  <c r="C58" i="56" s="1"/>
  <c r="E26" i="43"/>
  <c r="E25" i="43"/>
  <c r="E22" i="43"/>
  <c r="E21" i="43"/>
  <c r="E20" i="43"/>
  <c r="E19" i="43"/>
  <c r="E18" i="43"/>
  <c r="E23" i="43"/>
  <c r="E6" i="56" l="1"/>
  <c r="K8" i="51" s="1"/>
  <c r="K8" i="54" s="1"/>
  <c r="E8" i="56"/>
  <c r="K10" i="51" s="1"/>
  <c r="K10" i="54" s="1"/>
  <c r="E32" i="56"/>
  <c r="K34" i="51" s="1"/>
  <c r="K34" i="54" s="1"/>
  <c r="E4" i="56"/>
  <c r="E13" i="56"/>
  <c r="K15" i="51" s="1"/>
  <c r="K15" i="54" s="1"/>
  <c r="E17" i="56"/>
  <c r="K19" i="51" s="1"/>
  <c r="K19" i="54" s="1"/>
  <c r="E37" i="56"/>
  <c r="K39" i="51" s="1"/>
  <c r="K39" i="54" s="1"/>
  <c r="E28" i="56"/>
  <c r="K30" i="51" s="1"/>
  <c r="K30" i="54" s="1"/>
  <c r="E11" i="56"/>
  <c r="K13" i="51" s="1"/>
  <c r="K13" i="54" s="1"/>
  <c r="E24" i="56"/>
  <c r="K26" i="51" s="1"/>
  <c r="K26" i="54" s="1"/>
  <c r="E12" i="56"/>
  <c r="K14" i="51" s="1"/>
  <c r="K14" i="54" s="1"/>
  <c r="E53" i="56"/>
  <c r="K55" i="51" s="1"/>
  <c r="K55" i="54" s="1"/>
  <c r="E14" i="56"/>
  <c r="K16" i="51" s="1"/>
  <c r="K16" i="54" s="1"/>
  <c r="E46" i="56"/>
  <c r="K48" i="51" s="1"/>
  <c r="K48" i="54" s="1"/>
  <c r="E54" i="56"/>
  <c r="K56" i="51" s="1"/>
  <c r="K56" i="54" s="1"/>
  <c r="E9" i="56"/>
  <c r="K11" i="51" s="1"/>
  <c r="K11" i="54" s="1"/>
  <c r="E29" i="56"/>
  <c r="K31" i="51" s="1"/>
  <c r="K31" i="54" s="1"/>
  <c r="E42" i="56"/>
  <c r="K44" i="51" s="1"/>
  <c r="K44" i="54" s="1"/>
  <c r="E31" i="56"/>
  <c r="K33" i="51" s="1"/>
  <c r="K33" i="54" s="1"/>
  <c r="E15" i="56"/>
  <c r="K17" i="51" s="1"/>
  <c r="K17" i="54" s="1"/>
  <c r="E52" i="56"/>
  <c r="K54" i="51" s="1"/>
  <c r="K54" i="54" s="1"/>
  <c r="E48" i="56"/>
  <c r="K50" i="51" s="1"/>
  <c r="K50" i="54" s="1"/>
  <c r="E27" i="56"/>
  <c r="K29" i="51" s="1"/>
  <c r="K29" i="54" s="1"/>
  <c r="E49" i="56"/>
  <c r="K51" i="51" s="1"/>
  <c r="K51" i="54" s="1"/>
  <c r="E33" i="56"/>
  <c r="K35" i="51" s="1"/>
  <c r="K35" i="54" s="1"/>
  <c r="E36" i="56"/>
  <c r="K38" i="51" s="1"/>
  <c r="K38" i="54" s="1"/>
  <c r="E38" i="56"/>
  <c r="K40" i="51" s="1"/>
  <c r="K40" i="54" s="1"/>
  <c r="E26" i="56"/>
  <c r="K28" i="51" s="1"/>
  <c r="K28" i="54" s="1"/>
  <c r="E41" i="56"/>
  <c r="K43" i="51" s="1"/>
  <c r="K43" i="54" s="1"/>
  <c r="E20" i="56"/>
  <c r="K22" i="51" s="1"/>
  <c r="K22" i="54" s="1"/>
  <c r="E35" i="56"/>
  <c r="K37" i="51" s="1"/>
  <c r="K37" i="54" s="1"/>
  <c r="E10" i="56"/>
  <c r="K12" i="51" s="1"/>
  <c r="K12" i="54" s="1"/>
  <c r="E30" i="56"/>
  <c r="K32" i="51" s="1"/>
  <c r="K32" i="54" s="1"/>
  <c r="E18" i="56"/>
  <c r="K20" i="51" s="1"/>
  <c r="K20" i="54" s="1"/>
  <c r="E22" i="56"/>
  <c r="K24" i="51" s="1"/>
  <c r="K24" i="54" s="1"/>
  <c r="E47" i="56"/>
  <c r="K49" i="51" s="1"/>
  <c r="K49" i="54" s="1"/>
  <c r="E25" i="56"/>
  <c r="K27" i="51" s="1"/>
  <c r="K27" i="54" s="1"/>
  <c r="E34" i="56"/>
  <c r="K36" i="51" s="1"/>
  <c r="K36" i="54" s="1"/>
  <c r="E45" i="56"/>
  <c r="K47" i="51" s="1"/>
  <c r="K47" i="54" s="1"/>
  <c r="E23" i="56"/>
  <c r="K25" i="51" s="1"/>
  <c r="K25" i="54" s="1"/>
  <c r="E39" i="56"/>
  <c r="K41" i="51" s="1"/>
  <c r="K41" i="54" s="1"/>
  <c r="E19" i="56"/>
  <c r="K21" i="51" s="1"/>
  <c r="K21" i="54" s="1"/>
  <c r="E43" i="56"/>
  <c r="K45" i="51" s="1"/>
  <c r="K45" i="54" s="1"/>
  <c r="E7" i="56"/>
  <c r="K9" i="51" s="1"/>
  <c r="K9" i="54" s="1"/>
  <c r="E16" i="56"/>
  <c r="K18" i="51" s="1"/>
  <c r="K18" i="54" s="1"/>
  <c r="E5" i="56"/>
  <c r="K7" i="51" s="1"/>
  <c r="K7" i="54" s="1"/>
  <c r="E44" i="56"/>
  <c r="K46" i="51" s="1"/>
  <c r="K46" i="54" s="1"/>
  <c r="E51" i="56"/>
  <c r="K53" i="51" s="1"/>
  <c r="K53" i="54" s="1"/>
  <c r="E40" i="56"/>
  <c r="K42" i="51" s="1"/>
  <c r="K42" i="54" s="1"/>
  <c r="E21" i="56"/>
  <c r="K23" i="51" s="1"/>
  <c r="K23" i="54" s="1"/>
  <c r="E50" i="56"/>
  <c r="K52" i="51" s="1"/>
  <c r="K52" i="54" s="1"/>
  <c r="J6" i="28"/>
  <c r="K6" i="28"/>
  <c r="L6" i="28"/>
  <c r="M6" i="28"/>
  <c r="N6" i="28"/>
  <c r="O6" i="28"/>
  <c r="J7" i="28"/>
  <c r="K7" i="28"/>
  <c r="L7" i="28"/>
  <c r="M7" i="28"/>
  <c r="N7" i="28"/>
  <c r="O7" i="28"/>
  <c r="J8" i="28"/>
  <c r="K8" i="28"/>
  <c r="L8" i="28"/>
  <c r="M8" i="28"/>
  <c r="N8" i="28"/>
  <c r="O8" i="28"/>
  <c r="J9" i="28"/>
  <c r="K9" i="28"/>
  <c r="L9" i="28"/>
  <c r="M9" i="28"/>
  <c r="N9" i="28"/>
  <c r="O9" i="28"/>
  <c r="J10" i="28"/>
  <c r="K10" i="28"/>
  <c r="L10" i="28"/>
  <c r="M10" i="28"/>
  <c r="N10" i="28"/>
  <c r="O10" i="28"/>
  <c r="J11" i="28"/>
  <c r="K11" i="28"/>
  <c r="L11" i="28"/>
  <c r="M11" i="28"/>
  <c r="N11" i="28"/>
  <c r="O11" i="28"/>
  <c r="J12" i="28"/>
  <c r="K12" i="28"/>
  <c r="L12" i="28"/>
  <c r="M12" i="28"/>
  <c r="N12" i="28"/>
  <c r="O12" i="28"/>
  <c r="J13" i="28"/>
  <c r="K13" i="28"/>
  <c r="L13" i="28"/>
  <c r="M13" i="28"/>
  <c r="N13" i="28"/>
  <c r="O13" i="28"/>
  <c r="J14" i="28"/>
  <c r="K14" i="28"/>
  <c r="L14" i="28"/>
  <c r="M14" i="28"/>
  <c r="N14" i="28"/>
  <c r="O14" i="28"/>
  <c r="J15" i="28"/>
  <c r="K15" i="28"/>
  <c r="L15" i="28"/>
  <c r="M15" i="28"/>
  <c r="N15" i="28"/>
  <c r="O15" i="28"/>
  <c r="J16" i="28"/>
  <c r="K16" i="28"/>
  <c r="L16" i="28"/>
  <c r="M16" i="28"/>
  <c r="N16" i="28"/>
  <c r="O16" i="28"/>
  <c r="J17" i="28"/>
  <c r="K17" i="28"/>
  <c r="L17" i="28"/>
  <c r="M17" i="28"/>
  <c r="N17" i="28"/>
  <c r="O17" i="28"/>
  <c r="J18" i="28"/>
  <c r="K18" i="28"/>
  <c r="L18" i="28"/>
  <c r="M18" i="28"/>
  <c r="N18" i="28"/>
  <c r="O18" i="28"/>
  <c r="J19" i="28"/>
  <c r="K19" i="28"/>
  <c r="L19" i="28"/>
  <c r="M19" i="28"/>
  <c r="N19" i="28"/>
  <c r="O19" i="28"/>
  <c r="J20" i="28"/>
  <c r="K20" i="28"/>
  <c r="L20" i="28"/>
  <c r="M20" i="28"/>
  <c r="N20" i="28"/>
  <c r="O20" i="28"/>
  <c r="J21" i="28"/>
  <c r="K21" i="28"/>
  <c r="L21" i="28"/>
  <c r="M21" i="28"/>
  <c r="N21" i="28"/>
  <c r="O21" i="28"/>
  <c r="J22" i="28"/>
  <c r="K22" i="28"/>
  <c r="L22" i="28"/>
  <c r="M22" i="28"/>
  <c r="N22" i="28"/>
  <c r="O22" i="28"/>
  <c r="J23" i="28"/>
  <c r="K23" i="28"/>
  <c r="L23" i="28"/>
  <c r="M23" i="28"/>
  <c r="N23" i="28"/>
  <c r="O23" i="28"/>
  <c r="J24" i="28"/>
  <c r="K24" i="28"/>
  <c r="L24" i="28"/>
  <c r="M24" i="28"/>
  <c r="N24" i="28"/>
  <c r="O24" i="28"/>
  <c r="J25" i="28"/>
  <c r="K25" i="28"/>
  <c r="L25" i="28"/>
  <c r="M25" i="28"/>
  <c r="N25" i="28"/>
  <c r="O25" i="28"/>
  <c r="J26" i="28"/>
  <c r="K26" i="28"/>
  <c r="L26" i="28"/>
  <c r="M26" i="28"/>
  <c r="N26" i="28"/>
  <c r="O26" i="28"/>
  <c r="J27" i="28"/>
  <c r="K27" i="28"/>
  <c r="L27" i="28"/>
  <c r="M27" i="28"/>
  <c r="N27" i="28"/>
  <c r="O27" i="28"/>
  <c r="J28" i="28"/>
  <c r="K28" i="28"/>
  <c r="L28" i="28"/>
  <c r="M28" i="28"/>
  <c r="N28" i="28"/>
  <c r="O28" i="28"/>
  <c r="J29" i="28"/>
  <c r="K29" i="28"/>
  <c r="L29" i="28"/>
  <c r="M29" i="28"/>
  <c r="N29" i="28"/>
  <c r="O29" i="28"/>
  <c r="J30" i="28"/>
  <c r="K30" i="28"/>
  <c r="L30" i="28"/>
  <c r="M30" i="28"/>
  <c r="N30" i="28"/>
  <c r="O30" i="28"/>
  <c r="J31" i="28"/>
  <c r="K31" i="28"/>
  <c r="L31" i="28"/>
  <c r="M31" i="28"/>
  <c r="N31" i="28"/>
  <c r="O31" i="28"/>
  <c r="J32" i="28"/>
  <c r="K32" i="28"/>
  <c r="L32" i="28"/>
  <c r="M32" i="28"/>
  <c r="N32" i="28"/>
  <c r="O32" i="28"/>
  <c r="J33" i="28"/>
  <c r="K33" i="28"/>
  <c r="L33" i="28"/>
  <c r="M33" i="28"/>
  <c r="N33" i="28"/>
  <c r="O33" i="28"/>
  <c r="J34" i="28"/>
  <c r="K34" i="28"/>
  <c r="L34" i="28"/>
  <c r="M34" i="28"/>
  <c r="N34" i="28"/>
  <c r="O34" i="28"/>
  <c r="J35" i="28"/>
  <c r="K35" i="28"/>
  <c r="L35" i="28"/>
  <c r="M35" i="28"/>
  <c r="N35" i="28"/>
  <c r="O35" i="28"/>
  <c r="J36" i="28"/>
  <c r="K36" i="28"/>
  <c r="L36" i="28"/>
  <c r="M36" i="28"/>
  <c r="N36" i="28"/>
  <c r="O36" i="28"/>
  <c r="J37" i="28"/>
  <c r="K37" i="28"/>
  <c r="L37" i="28"/>
  <c r="M37" i="28"/>
  <c r="N37" i="28"/>
  <c r="O37" i="28"/>
  <c r="J38" i="28"/>
  <c r="K38" i="28"/>
  <c r="L38" i="28"/>
  <c r="M38" i="28"/>
  <c r="N38" i="28"/>
  <c r="O38" i="28"/>
  <c r="J39" i="28"/>
  <c r="K39" i="28"/>
  <c r="L39" i="28"/>
  <c r="M39" i="28"/>
  <c r="N39" i="28"/>
  <c r="O39" i="28"/>
  <c r="J40" i="28"/>
  <c r="K40" i="28"/>
  <c r="L40" i="28"/>
  <c r="M40" i="28"/>
  <c r="N40" i="28"/>
  <c r="O40" i="28"/>
  <c r="J41" i="28"/>
  <c r="K41" i="28"/>
  <c r="L41" i="28"/>
  <c r="M41" i="28"/>
  <c r="N41" i="28"/>
  <c r="O41" i="28"/>
  <c r="J42" i="28"/>
  <c r="K42" i="28"/>
  <c r="L42" i="28"/>
  <c r="M42" i="28"/>
  <c r="N42" i="28"/>
  <c r="O42" i="28"/>
  <c r="J43" i="28"/>
  <c r="K43" i="28"/>
  <c r="L43" i="28"/>
  <c r="M43" i="28"/>
  <c r="N43" i="28"/>
  <c r="O43" i="28"/>
  <c r="J44" i="28"/>
  <c r="K44" i="28"/>
  <c r="L44" i="28"/>
  <c r="M44" i="28"/>
  <c r="N44" i="28"/>
  <c r="O44" i="28"/>
  <c r="J45" i="28"/>
  <c r="K45" i="28"/>
  <c r="L45" i="28"/>
  <c r="M45" i="28"/>
  <c r="N45" i="28"/>
  <c r="O45" i="28"/>
  <c r="J46" i="28"/>
  <c r="K46" i="28"/>
  <c r="L46" i="28"/>
  <c r="M46" i="28"/>
  <c r="N46" i="28"/>
  <c r="O46" i="28"/>
  <c r="J47" i="28"/>
  <c r="K47" i="28"/>
  <c r="L47" i="28"/>
  <c r="M47" i="28"/>
  <c r="N47" i="28"/>
  <c r="O47" i="28"/>
  <c r="J48" i="28"/>
  <c r="K48" i="28"/>
  <c r="L48" i="28"/>
  <c r="M48" i="28"/>
  <c r="N48" i="28"/>
  <c r="O48" i="28"/>
  <c r="J49" i="28"/>
  <c r="K49" i="28"/>
  <c r="L49" i="28"/>
  <c r="M49" i="28"/>
  <c r="N49" i="28"/>
  <c r="O49" i="28"/>
  <c r="J50" i="28"/>
  <c r="K50" i="28"/>
  <c r="L50" i="28"/>
  <c r="M50" i="28"/>
  <c r="N50" i="28"/>
  <c r="O50" i="28"/>
  <c r="J51" i="28"/>
  <c r="K51" i="28"/>
  <c r="L51" i="28"/>
  <c r="M51" i="28"/>
  <c r="N51" i="28"/>
  <c r="O51" i="28"/>
  <c r="J52" i="28"/>
  <c r="K52" i="28"/>
  <c r="L52" i="28"/>
  <c r="M52" i="28"/>
  <c r="N52" i="28"/>
  <c r="O52" i="28"/>
  <c r="J53" i="28"/>
  <c r="K53" i="28"/>
  <c r="L53" i="28"/>
  <c r="M53" i="28"/>
  <c r="N53" i="28"/>
  <c r="O53" i="28"/>
  <c r="J54" i="28"/>
  <c r="K54" i="28"/>
  <c r="L54" i="28"/>
  <c r="M54" i="28"/>
  <c r="N54" i="28"/>
  <c r="O54" i="28"/>
  <c r="J55" i="28"/>
  <c r="K55" i="28"/>
  <c r="L55" i="28"/>
  <c r="M55" i="28"/>
  <c r="N55" i="28"/>
  <c r="O55" i="28"/>
  <c r="K5" i="28"/>
  <c r="L5" i="28"/>
  <c r="M5" i="28"/>
  <c r="N5" i="28"/>
  <c r="O5" i="28"/>
  <c r="J5" i="28"/>
  <c r="K6" i="51" l="1"/>
  <c r="E55" i="56"/>
  <c r="G27" i="43"/>
  <c r="H23" i="43"/>
  <c r="H22" i="43"/>
  <c r="H21" i="43"/>
  <c r="H20" i="43"/>
  <c r="H19" i="43"/>
  <c r="H18" i="43"/>
  <c r="C13" i="43"/>
  <c r="D13" i="43"/>
  <c r="E13" i="43"/>
  <c r="F13" i="43"/>
  <c r="G13" i="43"/>
  <c r="G14" i="43" s="1"/>
  <c r="H13" i="43"/>
  <c r="H14" i="43" s="1"/>
  <c r="I13" i="43"/>
  <c r="I14" i="43" s="1"/>
  <c r="B28" i="43"/>
  <c r="C28" i="43"/>
  <c r="D28" i="43"/>
  <c r="B13" i="43"/>
  <c r="B9" i="43"/>
  <c r="C9" i="43"/>
  <c r="D9" i="43"/>
  <c r="E9" i="43"/>
  <c r="F9" i="43"/>
  <c r="G9" i="43"/>
  <c r="H9" i="43"/>
  <c r="I9" i="43"/>
  <c r="B24" i="43"/>
  <c r="C24" i="43"/>
  <c r="D24" i="43"/>
  <c r="E14" i="43" l="1"/>
  <c r="B29" i="43"/>
  <c r="K6" i="54"/>
  <c r="K57" i="54" s="1"/>
  <c r="K57" i="51"/>
  <c r="B14" i="43"/>
  <c r="C29" i="43"/>
  <c r="D29" i="43"/>
  <c r="D14" i="43"/>
  <c r="F14" i="43"/>
  <c r="C14" i="43"/>
  <c r="E24" i="43" l="1"/>
  <c r="I6" i="28" l="1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" i="28"/>
  <c r="H24" i="43" l="1"/>
  <c r="J56" i="28" l="1"/>
  <c r="K56" i="28"/>
  <c r="L56" i="28"/>
  <c r="M56" i="28"/>
  <c r="N56" i="28"/>
  <c r="O56" i="28"/>
  <c r="P53" i="28" l="1"/>
  <c r="P37" i="28" l="1"/>
  <c r="P30" i="28"/>
  <c r="P36" i="28"/>
  <c r="P45" i="28"/>
  <c r="P23" i="28"/>
  <c r="P38" i="28"/>
  <c r="P7" i="28"/>
  <c r="P33" i="28"/>
  <c r="P8" i="28"/>
  <c r="P22" i="28"/>
  <c r="P50" i="28"/>
  <c r="P12" i="28"/>
  <c r="P40" i="28"/>
  <c r="P27" i="28"/>
  <c r="P32" i="28"/>
  <c r="P20" i="28"/>
  <c r="P17" i="28"/>
  <c r="P15" i="28"/>
  <c r="P41" i="28"/>
  <c r="P51" i="28"/>
  <c r="P26" i="28"/>
  <c r="P18" i="28"/>
  <c r="P29" i="28"/>
  <c r="P54" i="28"/>
  <c r="P52" i="28"/>
  <c r="P14" i="28"/>
  <c r="P6" i="28"/>
  <c r="P9" i="28"/>
  <c r="P34" i="28"/>
  <c r="P35" i="28"/>
  <c r="P13" i="28"/>
  <c r="P21" i="28"/>
  <c r="P11" i="28"/>
  <c r="P44" i="28"/>
  <c r="P47" i="28"/>
  <c r="P24" i="28"/>
  <c r="P49" i="28"/>
  <c r="P43" i="28"/>
  <c r="P39" i="28"/>
  <c r="P46" i="28"/>
  <c r="P16" i="28"/>
  <c r="P31" i="28"/>
  <c r="P42" i="28"/>
  <c r="P10" i="28"/>
  <c r="P48" i="28"/>
  <c r="P28" i="28"/>
  <c r="P25" i="28"/>
  <c r="P19" i="28"/>
  <c r="P55" i="28"/>
  <c r="I56" i="28"/>
  <c r="P5" i="28"/>
  <c r="H29" i="43" l="1"/>
  <c r="Q57" i="1" l="1"/>
  <c r="P57" i="1"/>
  <c r="R38" i="1" s="1"/>
  <c r="S38" i="1" s="1"/>
  <c r="O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P56" i="28" l="1"/>
  <c r="R8" i="1"/>
  <c r="S8" i="1" s="1"/>
  <c r="R20" i="1"/>
  <c r="S20" i="1" s="1"/>
  <c r="R54" i="1"/>
  <c r="S54" i="1" s="1"/>
  <c r="R55" i="1"/>
  <c r="S55" i="1" s="1"/>
  <c r="R51" i="1"/>
  <c r="S51" i="1" s="1"/>
  <c r="R47" i="1"/>
  <c r="S47" i="1" s="1"/>
  <c r="R43" i="1"/>
  <c r="S43" i="1" s="1"/>
  <c r="R39" i="1"/>
  <c r="S39" i="1" s="1"/>
  <c r="R35" i="1"/>
  <c r="S35" i="1" s="1"/>
  <c r="R31" i="1"/>
  <c r="S31" i="1" s="1"/>
  <c r="R27" i="1"/>
  <c r="S27" i="1" s="1"/>
  <c r="R23" i="1"/>
  <c r="S23" i="1" s="1"/>
  <c r="R19" i="1"/>
  <c r="S19" i="1" s="1"/>
  <c r="R15" i="1"/>
  <c r="S15" i="1" s="1"/>
  <c r="R11" i="1"/>
  <c r="S11" i="1" s="1"/>
  <c r="R7" i="1"/>
  <c r="S7" i="1" s="1"/>
  <c r="R56" i="1"/>
  <c r="S56" i="1" s="1"/>
  <c r="R40" i="1"/>
  <c r="S40" i="1" s="1"/>
  <c r="R52" i="1"/>
  <c r="S52" i="1" s="1"/>
  <c r="R48" i="1"/>
  <c r="S48" i="1" s="1"/>
  <c r="R44" i="1"/>
  <c r="S44" i="1" s="1"/>
  <c r="R36" i="1"/>
  <c r="S36" i="1" s="1"/>
  <c r="R32" i="1"/>
  <c r="S32" i="1" s="1"/>
  <c r="R53" i="1"/>
  <c r="S53" i="1" s="1"/>
  <c r="R49" i="1"/>
  <c r="S49" i="1" s="1"/>
  <c r="R45" i="1"/>
  <c r="S45" i="1" s="1"/>
  <c r="R41" i="1"/>
  <c r="S41" i="1" s="1"/>
  <c r="R37" i="1"/>
  <c r="S37" i="1" s="1"/>
  <c r="R33" i="1"/>
  <c r="S33" i="1" s="1"/>
  <c r="R29" i="1"/>
  <c r="S29" i="1" s="1"/>
  <c r="R25" i="1"/>
  <c r="S25" i="1" s="1"/>
  <c r="R21" i="1"/>
  <c r="S21" i="1" s="1"/>
  <c r="R17" i="1"/>
  <c r="S17" i="1" s="1"/>
  <c r="R13" i="1"/>
  <c r="S13" i="1" s="1"/>
  <c r="R9" i="1"/>
  <c r="S9" i="1" s="1"/>
  <c r="R6" i="1"/>
  <c r="R18" i="1"/>
  <c r="S18" i="1" s="1"/>
  <c r="R30" i="1"/>
  <c r="S30" i="1" s="1"/>
  <c r="R42" i="1"/>
  <c r="S42" i="1" s="1"/>
  <c r="V57" i="1"/>
  <c r="W38" i="1" s="1"/>
  <c r="X38" i="1" s="1"/>
  <c r="R16" i="1"/>
  <c r="S16" i="1" s="1"/>
  <c r="R28" i="1"/>
  <c r="S28" i="1" s="1"/>
  <c r="R14" i="1"/>
  <c r="S14" i="1" s="1"/>
  <c r="R46" i="1"/>
  <c r="S46" i="1" s="1"/>
  <c r="W49" i="1"/>
  <c r="X49" i="1" s="1"/>
  <c r="R12" i="1"/>
  <c r="S12" i="1" s="1"/>
  <c r="R24" i="1"/>
  <c r="S24" i="1" s="1"/>
  <c r="R50" i="1"/>
  <c r="S50" i="1" s="1"/>
  <c r="R26" i="1"/>
  <c r="S26" i="1" s="1"/>
  <c r="R34" i="1"/>
  <c r="S34" i="1" s="1"/>
  <c r="R10" i="1"/>
  <c r="S10" i="1" s="1"/>
  <c r="R22" i="1"/>
  <c r="S22" i="1" s="1"/>
  <c r="Q53" i="28" l="1"/>
  <c r="Q39" i="28"/>
  <c r="Q23" i="28"/>
  <c r="Q49" i="28"/>
  <c r="Q34" i="28"/>
  <c r="Q48" i="28"/>
  <c r="Q13" i="28"/>
  <c r="Q20" i="28"/>
  <c r="Q40" i="28"/>
  <c r="Q33" i="28"/>
  <c r="Q28" i="28"/>
  <c r="Q10" i="28"/>
  <c r="Q42" i="28"/>
  <c r="Q5" i="28"/>
  <c r="Q26" i="28"/>
  <c r="Q11" i="28"/>
  <c r="Q52" i="28"/>
  <c r="Q12" i="28"/>
  <c r="Q15" i="28"/>
  <c r="Q22" i="28"/>
  <c r="Q32" i="28"/>
  <c r="Q43" i="28"/>
  <c r="Q24" i="28"/>
  <c r="Q6" i="28"/>
  <c r="Q31" i="28"/>
  <c r="Q47" i="28"/>
  <c r="Q55" i="28"/>
  <c r="Q44" i="28"/>
  <c r="Q19" i="28"/>
  <c r="Q36" i="28"/>
  <c r="Q45" i="28"/>
  <c r="Q30" i="28"/>
  <c r="Q35" i="28"/>
  <c r="Q9" i="28"/>
  <c r="Q41" i="28"/>
  <c r="Q16" i="28"/>
  <c r="Q17" i="28"/>
  <c r="Q21" i="28"/>
  <c r="Q29" i="28"/>
  <c r="Q18" i="28"/>
  <c r="Q51" i="28"/>
  <c r="Q50" i="28"/>
  <c r="Q14" i="28"/>
  <c r="Q27" i="28"/>
  <c r="Q46" i="28"/>
  <c r="Q8" i="28"/>
  <c r="Q7" i="28"/>
  <c r="Q54" i="28"/>
  <c r="Q38" i="28"/>
  <c r="Q25" i="28"/>
  <c r="Q37" i="28"/>
  <c r="W47" i="1"/>
  <c r="X47" i="1" s="1"/>
  <c r="W37" i="1"/>
  <c r="X37" i="1" s="1"/>
  <c r="W35" i="1"/>
  <c r="X35" i="1" s="1"/>
  <c r="W23" i="1"/>
  <c r="X23" i="1" s="1"/>
  <c r="W33" i="1"/>
  <c r="X33" i="1" s="1"/>
  <c r="W11" i="1"/>
  <c r="X11" i="1" s="1"/>
  <c r="W29" i="1"/>
  <c r="X29" i="1" s="1"/>
  <c r="W53" i="1"/>
  <c r="X53" i="1" s="1"/>
  <c r="W41" i="1"/>
  <c r="X41" i="1" s="1"/>
  <c r="W55" i="1"/>
  <c r="X55" i="1" s="1"/>
  <c r="W51" i="1"/>
  <c r="X51" i="1" s="1"/>
  <c r="W15" i="1"/>
  <c r="X15" i="1" s="1"/>
  <c r="W17" i="1"/>
  <c r="X17" i="1" s="1"/>
  <c r="W19" i="1"/>
  <c r="X19" i="1" s="1"/>
  <c r="R57" i="1"/>
  <c r="S6" i="1"/>
  <c r="W31" i="1"/>
  <c r="X31" i="1" s="1"/>
  <c r="W7" i="1"/>
  <c r="X7" i="1" s="1"/>
  <c r="W27" i="1"/>
  <c r="X27" i="1" s="1"/>
  <c r="W10" i="1"/>
  <c r="X10" i="1" s="1"/>
  <c r="W21" i="1"/>
  <c r="X21" i="1" s="1"/>
  <c r="W43" i="1"/>
  <c r="X43" i="1" s="1"/>
  <c r="W45" i="1"/>
  <c r="X45" i="1" s="1"/>
  <c r="W54" i="1"/>
  <c r="X54" i="1" s="1"/>
  <c r="W26" i="1"/>
  <c r="X26" i="1" s="1"/>
  <c r="W25" i="1"/>
  <c r="X25" i="1" s="1"/>
  <c r="W22" i="1"/>
  <c r="X22" i="1" s="1"/>
  <c r="W39" i="1"/>
  <c r="X39" i="1" s="1"/>
  <c r="W9" i="1"/>
  <c r="X9" i="1" s="1"/>
  <c r="W50" i="1"/>
  <c r="X50" i="1" s="1"/>
  <c r="W13" i="1"/>
  <c r="X13" i="1" s="1"/>
  <c r="W34" i="1"/>
  <c r="X34" i="1" s="1"/>
  <c r="W24" i="1"/>
  <c r="X24" i="1" s="1"/>
  <c r="W12" i="1"/>
  <c r="X12" i="1" s="1"/>
  <c r="W52" i="1"/>
  <c r="X52" i="1" s="1"/>
  <c r="W16" i="1"/>
  <c r="X16" i="1" s="1"/>
  <c r="W56" i="1"/>
  <c r="X56" i="1" s="1"/>
  <c r="W40" i="1"/>
  <c r="X40" i="1" s="1"/>
  <c r="W28" i="1"/>
  <c r="X28" i="1" s="1"/>
  <c r="W42" i="1"/>
  <c r="X42" i="1" s="1"/>
  <c r="W36" i="1"/>
  <c r="X36" i="1" s="1"/>
  <c r="W30" i="1"/>
  <c r="X30" i="1" s="1"/>
  <c r="W18" i="1"/>
  <c r="X18" i="1" s="1"/>
  <c r="W6" i="1"/>
  <c r="X6" i="1" s="1"/>
  <c r="W44" i="1"/>
  <c r="X44" i="1" s="1"/>
  <c r="W48" i="1"/>
  <c r="X48" i="1" s="1"/>
  <c r="W20" i="1"/>
  <c r="X20" i="1" s="1"/>
  <c r="W8" i="1"/>
  <c r="X8" i="1" s="1"/>
  <c r="W32" i="1"/>
  <c r="X32" i="1" s="1"/>
  <c r="W14" i="1"/>
  <c r="X14" i="1" s="1"/>
  <c r="W46" i="1"/>
  <c r="X46" i="1" s="1"/>
  <c r="Q56" i="28" l="1"/>
  <c r="W57" i="1"/>
  <c r="S57" i="1"/>
  <c r="T6" i="1" s="1"/>
  <c r="U6" i="1" s="1"/>
  <c r="T20" i="1" l="1"/>
  <c r="U20" i="1" s="1"/>
  <c r="T8" i="1"/>
  <c r="U8" i="1" s="1"/>
  <c r="T38" i="1"/>
  <c r="U38" i="1" s="1"/>
  <c r="T54" i="1"/>
  <c r="U54" i="1" s="1"/>
  <c r="T27" i="1"/>
  <c r="U27" i="1" s="1"/>
  <c r="T12" i="1"/>
  <c r="U12" i="1" s="1"/>
  <c r="T48" i="1"/>
  <c r="U48" i="1" s="1"/>
  <c r="T56" i="1"/>
  <c r="U56" i="1" s="1"/>
  <c r="T18" i="1"/>
  <c r="U18" i="1" s="1"/>
  <c r="T39" i="1"/>
  <c r="U39" i="1" s="1"/>
  <c r="T51" i="1"/>
  <c r="U51" i="1" s="1"/>
  <c r="T17" i="1"/>
  <c r="U17" i="1" s="1"/>
  <c r="T45" i="1"/>
  <c r="U45" i="1" s="1"/>
  <c r="T15" i="1"/>
  <c r="U15" i="1" s="1"/>
  <c r="T53" i="1"/>
  <c r="U53" i="1" s="1"/>
  <c r="T34" i="1"/>
  <c r="U34" i="1" s="1"/>
  <c r="T44" i="1"/>
  <c r="U44" i="1" s="1"/>
  <c r="T23" i="1"/>
  <c r="U23" i="1" s="1"/>
  <c r="T24" i="1"/>
  <c r="U24" i="1" s="1"/>
  <c r="T35" i="1"/>
  <c r="U35" i="1" s="1"/>
  <c r="T29" i="1"/>
  <c r="U29" i="1" s="1"/>
  <c r="T25" i="1"/>
  <c r="U25" i="1" s="1"/>
  <c r="T10" i="1"/>
  <c r="U10" i="1" s="1"/>
  <c r="T28" i="1"/>
  <c r="U28" i="1" s="1"/>
  <c r="T37" i="1"/>
  <c r="U37" i="1" s="1"/>
  <c r="T30" i="1"/>
  <c r="U30" i="1" s="1"/>
  <c r="T13" i="1"/>
  <c r="U13" i="1" s="1"/>
  <c r="T52" i="1"/>
  <c r="U52" i="1" s="1"/>
  <c r="T47" i="1"/>
  <c r="U47" i="1" s="1"/>
  <c r="T40" i="1"/>
  <c r="U40" i="1" s="1"/>
  <c r="T7" i="1"/>
  <c r="U7" i="1" s="1"/>
  <c r="T36" i="1"/>
  <c r="U36" i="1" s="1"/>
  <c r="T41" i="1"/>
  <c r="U41" i="1" s="1"/>
  <c r="T43" i="1"/>
  <c r="U43" i="1" s="1"/>
  <c r="T55" i="1"/>
  <c r="U55" i="1" s="1"/>
  <c r="T14" i="1"/>
  <c r="U14" i="1" s="1"/>
  <c r="T11" i="1"/>
  <c r="U11" i="1" s="1"/>
  <c r="T31" i="1"/>
  <c r="U31" i="1" s="1"/>
  <c r="T49" i="1"/>
  <c r="U49" i="1" s="1"/>
  <c r="T46" i="1"/>
  <c r="U46" i="1" s="1"/>
  <c r="T22" i="1"/>
  <c r="U22" i="1" s="1"/>
  <c r="T19" i="1"/>
  <c r="U19" i="1" s="1"/>
  <c r="T9" i="1"/>
  <c r="U9" i="1" s="1"/>
  <c r="T16" i="1"/>
  <c r="U16" i="1" s="1"/>
  <c r="T42" i="1"/>
  <c r="U42" i="1" s="1"/>
  <c r="T50" i="1"/>
  <c r="U50" i="1" s="1"/>
  <c r="T32" i="1"/>
  <c r="U32" i="1" s="1"/>
  <c r="T26" i="1"/>
  <c r="U26" i="1" s="1"/>
  <c r="T21" i="1"/>
  <c r="U21" i="1" s="1"/>
  <c r="T33" i="1"/>
  <c r="U33" i="1" s="1"/>
  <c r="T57" i="1" l="1"/>
  <c r="G23" i="43" l="1"/>
  <c r="I23" i="43" s="1"/>
  <c r="G22" i="43"/>
  <c r="I22" i="43" s="1"/>
  <c r="G21" i="43"/>
  <c r="I21" i="43" s="1"/>
  <c r="G20" i="43"/>
  <c r="I20" i="43" s="1"/>
  <c r="G25" i="43"/>
  <c r="G19" i="43"/>
  <c r="H56" i="28"/>
  <c r="G56" i="28"/>
  <c r="F56" i="28"/>
  <c r="E56" i="28"/>
  <c r="D56" i="28"/>
  <c r="C56" i="28"/>
  <c r="I19" i="43" l="1"/>
  <c r="O3" i="44"/>
  <c r="G18" i="43"/>
  <c r="G24" i="43" s="1"/>
  <c r="I18" i="43" l="1"/>
  <c r="I24" i="43" l="1"/>
  <c r="AC4" i="1" s="1"/>
  <c r="E5" i="44"/>
  <c r="H5" i="44"/>
  <c r="I5" i="44" s="1"/>
  <c r="E6" i="44"/>
  <c r="H6" i="44"/>
  <c r="I6" i="44" s="1"/>
  <c r="E7" i="44"/>
  <c r="H7" i="44"/>
  <c r="I7" i="44" s="1"/>
  <c r="E8" i="44"/>
  <c r="H8" i="44"/>
  <c r="I8" i="44" s="1"/>
  <c r="E9" i="44"/>
  <c r="H9" i="44"/>
  <c r="I9" i="44" s="1"/>
  <c r="E10" i="44"/>
  <c r="H10" i="44"/>
  <c r="I10" i="44" s="1"/>
  <c r="E11" i="44"/>
  <c r="H11" i="44"/>
  <c r="I11" i="44" s="1"/>
  <c r="E12" i="44"/>
  <c r="H12" i="44"/>
  <c r="I12" i="44" s="1"/>
  <c r="E13" i="44"/>
  <c r="H13" i="44"/>
  <c r="I13" i="44" s="1"/>
  <c r="E14" i="44"/>
  <c r="H14" i="44"/>
  <c r="I14" i="44" s="1"/>
  <c r="E15" i="44"/>
  <c r="H15" i="44"/>
  <c r="I15" i="44" s="1"/>
  <c r="E16" i="44"/>
  <c r="H16" i="44"/>
  <c r="I16" i="44" s="1"/>
  <c r="E17" i="44"/>
  <c r="H17" i="44"/>
  <c r="I17" i="44" s="1"/>
  <c r="E18" i="44"/>
  <c r="H18" i="44"/>
  <c r="I18" i="44" s="1"/>
  <c r="E19" i="44"/>
  <c r="H19" i="44"/>
  <c r="I19" i="44" s="1"/>
  <c r="E20" i="44"/>
  <c r="H20" i="44"/>
  <c r="I20" i="44" s="1"/>
  <c r="E21" i="44"/>
  <c r="H21" i="44"/>
  <c r="I21" i="44" s="1"/>
  <c r="E22" i="44"/>
  <c r="H22" i="44"/>
  <c r="I22" i="44" s="1"/>
  <c r="E23" i="44"/>
  <c r="H23" i="44"/>
  <c r="I23" i="44" s="1"/>
  <c r="E24" i="44"/>
  <c r="H24" i="44"/>
  <c r="I24" i="44" s="1"/>
  <c r="E25" i="44"/>
  <c r="H25" i="44"/>
  <c r="I25" i="44" s="1"/>
  <c r="E26" i="44"/>
  <c r="H26" i="44"/>
  <c r="I26" i="44" s="1"/>
  <c r="E27" i="44"/>
  <c r="H27" i="44"/>
  <c r="I27" i="44" s="1"/>
  <c r="E28" i="44"/>
  <c r="H28" i="44"/>
  <c r="I28" i="44" s="1"/>
  <c r="E29" i="44"/>
  <c r="H29" i="44"/>
  <c r="I29" i="44" s="1"/>
  <c r="E30" i="44"/>
  <c r="H30" i="44"/>
  <c r="I30" i="44" s="1"/>
  <c r="E31" i="44"/>
  <c r="H31" i="44"/>
  <c r="I31" i="44" s="1"/>
  <c r="E32" i="44"/>
  <c r="H32" i="44"/>
  <c r="I32" i="44" s="1"/>
  <c r="E33" i="44"/>
  <c r="H33" i="44"/>
  <c r="I33" i="44" s="1"/>
  <c r="E34" i="44"/>
  <c r="H34" i="44"/>
  <c r="I34" i="44" s="1"/>
  <c r="E35" i="44"/>
  <c r="H35" i="44"/>
  <c r="I35" i="44" s="1"/>
  <c r="E36" i="44"/>
  <c r="H36" i="44"/>
  <c r="I36" i="44" s="1"/>
  <c r="E37" i="44"/>
  <c r="H37" i="44"/>
  <c r="I37" i="44" s="1"/>
  <c r="E38" i="44"/>
  <c r="H38" i="44"/>
  <c r="I38" i="44" s="1"/>
  <c r="E39" i="44"/>
  <c r="H39" i="44"/>
  <c r="I39" i="44" s="1"/>
  <c r="E40" i="44"/>
  <c r="H40" i="44"/>
  <c r="I40" i="44" s="1"/>
  <c r="E41" i="44"/>
  <c r="H41" i="44"/>
  <c r="I41" i="44" s="1"/>
  <c r="E42" i="44"/>
  <c r="H42" i="44"/>
  <c r="I42" i="44" s="1"/>
  <c r="E43" i="44"/>
  <c r="H43" i="44"/>
  <c r="I43" i="44" s="1"/>
  <c r="E44" i="44"/>
  <c r="H44" i="44"/>
  <c r="I44" i="44" s="1"/>
  <c r="E45" i="44"/>
  <c r="H45" i="44"/>
  <c r="I45" i="44" s="1"/>
  <c r="E46" i="44"/>
  <c r="H46" i="44"/>
  <c r="I46" i="44" s="1"/>
  <c r="E47" i="44"/>
  <c r="H47" i="44"/>
  <c r="I47" i="44" s="1"/>
  <c r="E48" i="44"/>
  <c r="H48" i="44"/>
  <c r="I48" i="44" s="1"/>
  <c r="E49" i="44"/>
  <c r="H49" i="44"/>
  <c r="I49" i="44" s="1"/>
  <c r="E50" i="44"/>
  <c r="H50" i="44"/>
  <c r="I50" i="44" s="1"/>
  <c r="E51" i="44"/>
  <c r="H51" i="44"/>
  <c r="I51" i="44" s="1"/>
  <c r="E52" i="44"/>
  <c r="H52" i="44"/>
  <c r="I52" i="44" s="1"/>
  <c r="E53" i="44"/>
  <c r="H53" i="44"/>
  <c r="I53" i="44" s="1"/>
  <c r="E54" i="44"/>
  <c r="H54" i="44"/>
  <c r="I54" i="44" s="1"/>
  <c r="E55" i="44"/>
  <c r="H55" i="44"/>
  <c r="I55" i="44" s="1"/>
  <c r="C56" i="44"/>
  <c r="D56" i="44"/>
  <c r="K55" i="44" s="1"/>
  <c r="G56" i="44"/>
  <c r="I29" i="43" l="1"/>
  <c r="E56" i="44"/>
  <c r="F54" i="44" s="1"/>
  <c r="I56" i="44"/>
  <c r="J54" i="44" s="1"/>
  <c r="K54" i="44"/>
  <c r="K5" i="44"/>
  <c r="K6" i="44"/>
  <c r="K7" i="44"/>
  <c r="K8" i="44"/>
  <c r="K9" i="44"/>
  <c r="K10" i="44"/>
  <c r="K11" i="44"/>
  <c r="K12" i="44"/>
  <c r="K13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33" i="44"/>
  <c r="K34" i="44"/>
  <c r="K35" i="44"/>
  <c r="K36" i="44"/>
  <c r="K37" i="44"/>
  <c r="K38" i="44"/>
  <c r="K39" i="44"/>
  <c r="K40" i="44"/>
  <c r="K41" i="44"/>
  <c r="K53" i="44"/>
  <c r="K52" i="44"/>
  <c r="K51" i="44"/>
  <c r="K50" i="44"/>
  <c r="K49" i="44"/>
  <c r="K48" i="44"/>
  <c r="K47" i="44"/>
  <c r="K46" i="44"/>
  <c r="K45" i="44"/>
  <c r="K44" i="44"/>
  <c r="K43" i="44"/>
  <c r="K42" i="44"/>
  <c r="J14" i="44" l="1"/>
  <c r="J9" i="44"/>
  <c r="J16" i="44"/>
  <c r="J20" i="44"/>
  <c r="J26" i="44"/>
  <c r="J28" i="44"/>
  <c r="J30" i="44"/>
  <c r="J32" i="44"/>
  <c r="J34" i="44"/>
  <c r="J5" i="44"/>
  <c r="J36" i="44"/>
  <c r="J7" i="44"/>
  <c r="J38" i="44"/>
  <c r="J18" i="44"/>
  <c r="F8" i="44"/>
  <c r="F10" i="44"/>
  <c r="F18" i="44"/>
  <c r="F32" i="44"/>
  <c r="F52" i="44"/>
  <c r="F36" i="44"/>
  <c r="F14" i="44"/>
  <c r="F50" i="44"/>
  <c r="F6" i="44"/>
  <c r="F23" i="44"/>
  <c r="F25" i="44"/>
  <c r="F34" i="44"/>
  <c r="F27" i="44"/>
  <c r="F12" i="44"/>
  <c r="F38" i="44"/>
  <c r="F40" i="44"/>
  <c r="F16" i="44"/>
  <c r="F42" i="44"/>
  <c r="F44" i="44"/>
  <c r="F46" i="44"/>
  <c r="F48" i="44"/>
  <c r="F21" i="44"/>
  <c r="F30" i="44"/>
  <c r="J11" i="44"/>
  <c r="J22" i="44"/>
  <c r="J40" i="44"/>
  <c r="J24" i="44"/>
  <c r="J6" i="44"/>
  <c r="J8" i="44"/>
  <c r="J10" i="44"/>
  <c r="J12" i="44"/>
  <c r="J13" i="44"/>
  <c r="J15" i="44"/>
  <c r="J17" i="44"/>
  <c r="J19" i="44"/>
  <c r="J21" i="44"/>
  <c r="J23" i="44"/>
  <c r="J25" i="44"/>
  <c r="J27" i="44"/>
  <c r="J29" i="44"/>
  <c r="J31" i="44"/>
  <c r="J33" i="44"/>
  <c r="J35" i="44"/>
  <c r="J37" i="44"/>
  <c r="J39" i="44"/>
  <c r="J41" i="44"/>
  <c r="F5" i="44"/>
  <c r="F7" i="44"/>
  <c r="F9" i="44"/>
  <c r="F11" i="44"/>
  <c r="F13" i="44"/>
  <c r="F15" i="44"/>
  <c r="F17" i="44"/>
  <c r="F19" i="44"/>
  <c r="F20" i="44"/>
  <c r="F22" i="44"/>
  <c r="F24" i="44"/>
  <c r="F26" i="44"/>
  <c r="F28" i="44"/>
  <c r="F29" i="44"/>
  <c r="F31" i="44"/>
  <c r="F33" i="44"/>
  <c r="F35" i="44"/>
  <c r="F37" i="44"/>
  <c r="F39" i="44"/>
  <c r="F41" i="44"/>
  <c r="F43" i="44"/>
  <c r="F45" i="44"/>
  <c r="F47" i="44"/>
  <c r="F49" i="44"/>
  <c r="F51" i="44"/>
  <c r="F53" i="44"/>
  <c r="J43" i="44"/>
  <c r="J46" i="44"/>
  <c r="J49" i="44"/>
  <c r="F55" i="44"/>
  <c r="J45" i="44"/>
  <c r="J50" i="44"/>
  <c r="J53" i="44"/>
  <c r="K56" i="44"/>
  <c r="J42" i="44"/>
  <c r="J44" i="44"/>
  <c r="J48" i="44"/>
  <c r="J52" i="44"/>
  <c r="J55" i="44"/>
  <c r="J47" i="44"/>
  <c r="J51" i="44"/>
  <c r="J56" i="44" l="1"/>
  <c r="F56" i="44"/>
  <c r="L3" i="44" l="1"/>
  <c r="N3" i="44"/>
  <c r="M3" i="44"/>
  <c r="N55" i="44" l="1"/>
  <c r="N43" i="44"/>
  <c r="N47" i="44"/>
  <c r="N51" i="44"/>
  <c r="N40" i="44"/>
  <c r="N36" i="44"/>
  <c r="N32" i="44"/>
  <c r="N28" i="44"/>
  <c r="N24" i="44"/>
  <c r="N20" i="44"/>
  <c r="N16" i="44"/>
  <c r="N12" i="44"/>
  <c r="N8" i="44"/>
  <c r="N54" i="44"/>
  <c r="N42" i="44"/>
  <c r="N46" i="44"/>
  <c r="N50" i="44"/>
  <c r="N41" i="44"/>
  <c r="N37" i="44"/>
  <c r="N33" i="44"/>
  <c r="N29" i="44"/>
  <c r="N25" i="44"/>
  <c r="N21" i="44"/>
  <c r="N17" i="44"/>
  <c r="N13" i="44"/>
  <c r="N9" i="44"/>
  <c r="N45" i="44"/>
  <c r="N49" i="44"/>
  <c r="N53" i="44"/>
  <c r="N38" i="44"/>
  <c r="N34" i="44"/>
  <c r="N30" i="44"/>
  <c r="N26" i="44"/>
  <c r="N22" i="44"/>
  <c r="N18" i="44"/>
  <c r="N14" i="44"/>
  <c r="N10" i="44"/>
  <c r="N6" i="44"/>
  <c r="N44" i="44"/>
  <c r="N48" i="44"/>
  <c r="N52" i="44"/>
  <c r="N39" i="44"/>
  <c r="N35" i="44"/>
  <c r="N31" i="44"/>
  <c r="N27" i="44"/>
  <c r="N23" i="44"/>
  <c r="N19" i="44"/>
  <c r="N15" i="44"/>
  <c r="N11" i="44"/>
  <c r="N7" i="44"/>
  <c r="N5" i="44"/>
  <c r="M9" i="44"/>
  <c r="M20" i="44"/>
  <c r="M28" i="44"/>
  <c r="M36" i="44"/>
  <c r="M7" i="44"/>
  <c r="M18" i="44"/>
  <c r="M26" i="44"/>
  <c r="M34" i="44"/>
  <c r="M54" i="44"/>
  <c r="M16" i="44"/>
  <c r="M24" i="44"/>
  <c r="M32" i="44"/>
  <c r="M40" i="44"/>
  <c r="M11" i="44"/>
  <c r="M14" i="44"/>
  <c r="M22" i="44"/>
  <c r="M30" i="44"/>
  <c r="M38" i="44"/>
  <c r="M5" i="44"/>
  <c r="M47" i="44"/>
  <c r="M52" i="44"/>
  <c r="M35" i="44"/>
  <c r="M27" i="44"/>
  <c r="M19" i="44"/>
  <c r="M10" i="44"/>
  <c r="M51" i="44"/>
  <c r="M48" i="44"/>
  <c r="M53" i="44"/>
  <c r="M49" i="44"/>
  <c r="M41" i="44"/>
  <c r="M33" i="44"/>
  <c r="M25" i="44"/>
  <c r="M17" i="44"/>
  <c r="M12" i="44"/>
  <c r="M44" i="44"/>
  <c r="M50" i="44"/>
  <c r="M46" i="44"/>
  <c r="M39" i="44"/>
  <c r="M31" i="44"/>
  <c r="M23" i="44"/>
  <c r="M15" i="44"/>
  <c r="M6" i="44"/>
  <c r="M55" i="44"/>
  <c r="M42" i="44"/>
  <c r="M45" i="44"/>
  <c r="M43" i="44"/>
  <c r="M37" i="44"/>
  <c r="M29" i="44"/>
  <c r="M21" i="44"/>
  <c r="M13" i="44"/>
  <c r="M8" i="44"/>
  <c r="L10" i="44"/>
  <c r="L18" i="44"/>
  <c r="L25" i="44"/>
  <c r="L30" i="44"/>
  <c r="L38" i="44"/>
  <c r="L46" i="44"/>
  <c r="L8" i="44"/>
  <c r="L16" i="44"/>
  <c r="L23" i="44"/>
  <c r="L32" i="44"/>
  <c r="L40" i="44"/>
  <c r="L48" i="44"/>
  <c r="L5" i="44"/>
  <c r="L6" i="44"/>
  <c r="L14" i="44"/>
  <c r="L21" i="44"/>
  <c r="L34" i="44"/>
  <c r="L42" i="44"/>
  <c r="L50" i="44"/>
  <c r="L54" i="44"/>
  <c r="L12" i="44"/>
  <c r="L27" i="44"/>
  <c r="L36" i="44"/>
  <c r="L44" i="44"/>
  <c r="L52" i="44"/>
  <c r="L55" i="44"/>
  <c r="L53" i="44"/>
  <c r="L45" i="44"/>
  <c r="L37" i="44"/>
  <c r="L29" i="44"/>
  <c r="L22" i="44"/>
  <c r="L15" i="44"/>
  <c r="L7" i="44"/>
  <c r="L51" i="44"/>
  <c r="L43" i="44"/>
  <c r="L35" i="44"/>
  <c r="L28" i="44"/>
  <c r="L20" i="44"/>
  <c r="L13" i="44"/>
  <c r="L49" i="44"/>
  <c r="L41" i="44"/>
  <c r="L33" i="44"/>
  <c r="L26" i="44"/>
  <c r="L19" i="44"/>
  <c r="L11" i="44"/>
  <c r="L47" i="44"/>
  <c r="L39" i="44"/>
  <c r="L31" i="44"/>
  <c r="L24" i="44"/>
  <c r="L17" i="44"/>
  <c r="L9" i="44"/>
  <c r="O34" i="44" l="1"/>
  <c r="E35" i="51" s="1"/>
  <c r="E35" i="54" s="1"/>
  <c r="O13" i="44"/>
  <c r="E14" i="51" s="1"/>
  <c r="E14" i="54" s="1"/>
  <c r="O33" i="44"/>
  <c r="E34" i="51" s="1"/>
  <c r="E34" i="54" s="1"/>
  <c r="O29" i="44"/>
  <c r="E30" i="51" s="1"/>
  <c r="E30" i="54" s="1"/>
  <c r="O46" i="44"/>
  <c r="E47" i="51" s="1"/>
  <c r="E47" i="54" s="1"/>
  <c r="O30" i="44"/>
  <c r="E31" i="51" s="1"/>
  <c r="E31" i="54" s="1"/>
  <c r="O51" i="44"/>
  <c r="E52" i="51" s="1"/>
  <c r="E52" i="54" s="1"/>
  <c r="O11" i="44"/>
  <c r="E12" i="51" s="1"/>
  <c r="E12" i="54" s="1"/>
  <c r="O20" i="44"/>
  <c r="E21" i="51" s="1"/>
  <c r="E21" i="54" s="1"/>
  <c r="O55" i="44"/>
  <c r="E56" i="51" s="1"/>
  <c r="E56" i="54" s="1"/>
  <c r="O17" i="44"/>
  <c r="E18" i="51" s="1"/>
  <c r="E18" i="54" s="1"/>
  <c r="O21" i="44"/>
  <c r="E22" i="51" s="1"/>
  <c r="E22" i="54" s="1"/>
  <c r="O31" i="44"/>
  <c r="E32" i="51" s="1"/>
  <c r="E32" i="54" s="1"/>
  <c r="O35" i="44"/>
  <c r="E36" i="51" s="1"/>
  <c r="E36" i="54" s="1"/>
  <c r="O47" i="44"/>
  <c r="E48" i="51" s="1"/>
  <c r="E48" i="54" s="1"/>
  <c r="O32" i="44"/>
  <c r="E33" i="51" s="1"/>
  <c r="E33" i="54" s="1"/>
  <c r="O18" i="44"/>
  <c r="E19" i="51" s="1"/>
  <c r="E19" i="54" s="1"/>
  <c r="O54" i="44"/>
  <c r="E55" i="51" s="1"/>
  <c r="E55" i="54" s="1"/>
  <c r="O19" i="44"/>
  <c r="E20" i="51" s="1"/>
  <c r="E20" i="54" s="1"/>
  <c r="O15" i="44"/>
  <c r="E16" i="51" s="1"/>
  <c r="E16" i="54" s="1"/>
  <c r="O16" i="44"/>
  <c r="E17" i="51" s="1"/>
  <c r="E17" i="54" s="1"/>
  <c r="O9" i="44"/>
  <c r="E10" i="51" s="1"/>
  <c r="E10" i="54" s="1"/>
  <c r="O24" i="44"/>
  <c r="E25" i="51" s="1"/>
  <c r="E25" i="54" s="1"/>
  <c r="O39" i="44"/>
  <c r="E40" i="51" s="1"/>
  <c r="E40" i="54" s="1"/>
  <c r="O26" i="44"/>
  <c r="E27" i="51" s="1"/>
  <c r="E27" i="54" s="1"/>
  <c r="O41" i="44"/>
  <c r="E42" i="51" s="1"/>
  <c r="E42" i="54" s="1"/>
  <c r="O28" i="44"/>
  <c r="E29" i="51" s="1"/>
  <c r="E29" i="54" s="1"/>
  <c r="O43" i="44"/>
  <c r="E44" i="51" s="1"/>
  <c r="E44" i="54" s="1"/>
  <c r="O7" i="44"/>
  <c r="E8" i="51" s="1"/>
  <c r="E8" i="54" s="1"/>
  <c r="O22" i="44"/>
  <c r="E23" i="51" s="1"/>
  <c r="E23" i="54" s="1"/>
  <c r="O37" i="44"/>
  <c r="E38" i="51" s="1"/>
  <c r="E38" i="54" s="1"/>
  <c r="O36" i="44"/>
  <c r="E37" i="51" s="1"/>
  <c r="E37" i="54" s="1"/>
  <c r="O12" i="44"/>
  <c r="E13" i="51" s="1"/>
  <c r="E13" i="54" s="1"/>
  <c r="O14" i="44"/>
  <c r="E15" i="51" s="1"/>
  <c r="E15" i="54" s="1"/>
  <c r="O40" i="44"/>
  <c r="E41" i="51" s="1"/>
  <c r="E41" i="54" s="1"/>
  <c r="O8" i="44"/>
  <c r="E9" i="51" s="1"/>
  <c r="E9" i="54" s="1"/>
  <c r="O38" i="44"/>
  <c r="E39" i="51" s="1"/>
  <c r="E39" i="54" s="1"/>
  <c r="N56" i="44"/>
  <c r="O45" i="44"/>
  <c r="E46" i="51" s="1"/>
  <c r="E46" i="54" s="1"/>
  <c r="O44" i="44"/>
  <c r="E45" i="51" s="1"/>
  <c r="E45" i="54" s="1"/>
  <c r="O49" i="44"/>
  <c r="E50" i="51" s="1"/>
  <c r="E50" i="54" s="1"/>
  <c r="O48" i="44"/>
  <c r="E49" i="51" s="1"/>
  <c r="E49" i="54" s="1"/>
  <c r="O10" i="44"/>
  <c r="E11" i="51" s="1"/>
  <c r="E11" i="54" s="1"/>
  <c r="O27" i="44"/>
  <c r="E28" i="51" s="1"/>
  <c r="E28" i="54" s="1"/>
  <c r="O52" i="44"/>
  <c r="E53" i="51" s="1"/>
  <c r="E53" i="54" s="1"/>
  <c r="M56" i="44"/>
  <c r="L56" i="44"/>
  <c r="O5" i="44"/>
  <c r="E6" i="51" s="1"/>
  <c r="E6" i="54" s="1"/>
  <c r="O42" i="44"/>
  <c r="E43" i="51" s="1"/>
  <c r="E43" i="54" s="1"/>
  <c r="O6" i="44"/>
  <c r="E7" i="51" s="1"/>
  <c r="E7" i="54" s="1"/>
  <c r="O23" i="44"/>
  <c r="E24" i="51" s="1"/>
  <c r="E24" i="54" s="1"/>
  <c r="O50" i="44"/>
  <c r="E51" i="51" s="1"/>
  <c r="E51" i="54" s="1"/>
  <c r="O25" i="44"/>
  <c r="E26" i="51" s="1"/>
  <c r="E26" i="54" s="1"/>
  <c r="O53" i="44"/>
  <c r="E54" i="51" s="1"/>
  <c r="E54" i="54" s="1"/>
  <c r="E57" i="54" l="1"/>
  <c r="E57" i="51"/>
  <c r="O56" i="44"/>
  <c r="P23" i="44" s="1"/>
  <c r="P49" i="44" l="1"/>
  <c r="P25" i="44"/>
  <c r="P52" i="44"/>
  <c r="P48" i="44"/>
  <c r="P45" i="44"/>
  <c r="P10" i="44"/>
  <c r="P42" i="44"/>
  <c r="P44" i="44"/>
  <c r="P27" i="44"/>
  <c r="P5" i="44"/>
  <c r="P9" i="44"/>
  <c r="P17" i="44"/>
  <c r="P31" i="44"/>
  <c r="P47" i="44"/>
  <c r="P19" i="44"/>
  <c r="P33" i="44"/>
  <c r="P20" i="44"/>
  <c r="P35" i="44"/>
  <c r="P51" i="44"/>
  <c r="P15" i="44"/>
  <c r="P29" i="44"/>
  <c r="P55" i="44"/>
  <c r="P54" i="44"/>
  <c r="P21" i="44"/>
  <c r="P32" i="44"/>
  <c r="P16" i="44"/>
  <c r="P46" i="44"/>
  <c r="P30" i="44"/>
  <c r="P18" i="44"/>
  <c r="P24" i="44"/>
  <c r="P39" i="44"/>
  <c r="P11" i="44"/>
  <c r="P26" i="44"/>
  <c r="P41" i="44"/>
  <c r="P13" i="44"/>
  <c r="P28" i="44"/>
  <c r="P43" i="44"/>
  <c r="P7" i="44"/>
  <c r="P22" i="44"/>
  <c r="P37" i="44"/>
  <c r="P36" i="44"/>
  <c r="P12" i="44"/>
  <c r="P34" i="44"/>
  <c r="P14" i="44"/>
  <c r="P40" i="44"/>
  <c r="P8" i="44"/>
  <c r="P38" i="44"/>
  <c r="P6" i="44"/>
  <c r="P50" i="44"/>
  <c r="P53" i="44"/>
  <c r="D57" i="1"/>
  <c r="C57" i="1"/>
  <c r="E58" i="36"/>
  <c r="F58" i="36" s="1"/>
  <c r="C58" i="36"/>
  <c r="D57" i="36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K57" i="1"/>
  <c r="L9" i="1" s="1"/>
  <c r="M9" i="1" s="1"/>
  <c r="H57" i="1"/>
  <c r="I9" i="1" s="1"/>
  <c r="J9" i="1" s="1"/>
  <c r="D17" i="36" l="1"/>
  <c r="D47" i="36"/>
  <c r="D33" i="36"/>
  <c r="D26" i="36"/>
  <c r="D55" i="36"/>
  <c r="D16" i="36"/>
  <c r="D51" i="36"/>
  <c r="D8" i="36"/>
  <c r="D11" i="36"/>
  <c r="D7" i="36"/>
  <c r="D56" i="36"/>
  <c r="D48" i="36"/>
  <c r="D39" i="36"/>
  <c r="D46" i="36"/>
  <c r="D38" i="36"/>
  <c r="D29" i="36"/>
  <c r="D34" i="36"/>
  <c r="D25" i="36"/>
  <c r="D21" i="36"/>
  <c r="L8" i="1"/>
  <c r="M8" i="1" s="1"/>
  <c r="L12" i="1"/>
  <c r="M12" i="1" s="1"/>
  <c r="L25" i="1"/>
  <c r="M25" i="1" s="1"/>
  <c r="D24" i="36"/>
  <c r="D43" i="36"/>
  <c r="D12" i="36"/>
  <c r="I27" i="1"/>
  <c r="J27" i="1" s="1"/>
  <c r="I12" i="1"/>
  <c r="J12" i="1" s="1"/>
  <c r="I29" i="1"/>
  <c r="J29" i="1" s="1"/>
  <c r="I39" i="1"/>
  <c r="J39" i="1" s="1"/>
  <c r="I15" i="1"/>
  <c r="J15" i="1" s="1"/>
  <c r="I21" i="1"/>
  <c r="J21" i="1" s="1"/>
  <c r="I47" i="1"/>
  <c r="J47" i="1" s="1"/>
  <c r="I32" i="1"/>
  <c r="J32" i="1" s="1"/>
  <c r="I37" i="1"/>
  <c r="J37" i="1" s="1"/>
  <c r="D50" i="36"/>
  <c r="D13" i="36"/>
  <c r="D35" i="36"/>
  <c r="D30" i="36"/>
  <c r="I23" i="1"/>
  <c r="J23" i="1" s="1"/>
  <c r="L33" i="1"/>
  <c r="M33" i="1" s="1"/>
  <c r="I24" i="1"/>
  <c r="J24" i="1" s="1"/>
  <c r="I50" i="1"/>
  <c r="J50" i="1" s="1"/>
  <c r="D53" i="36"/>
  <c r="D49" i="36"/>
  <c r="D52" i="36"/>
  <c r="D45" i="36"/>
  <c r="D41" i="36"/>
  <c r="D54" i="36"/>
  <c r="D42" i="36"/>
  <c r="D36" i="36"/>
  <c r="D32" i="36"/>
  <c r="D40" i="36"/>
  <c r="D31" i="36"/>
  <c r="D27" i="36"/>
  <c r="D23" i="36"/>
  <c r="D19" i="36"/>
  <c r="D44" i="36"/>
  <c r="D28" i="36"/>
  <c r="D20" i="36"/>
  <c r="D14" i="36"/>
  <c r="D10" i="36"/>
  <c r="D37" i="36"/>
  <c r="D18" i="36"/>
  <c r="D9" i="36"/>
  <c r="D15" i="36"/>
  <c r="D22" i="36"/>
  <c r="F7" i="36"/>
  <c r="F16" i="36"/>
  <c r="L10" i="1"/>
  <c r="M10" i="1" s="1"/>
  <c r="L14" i="1"/>
  <c r="M14" i="1" s="1"/>
  <c r="I17" i="1"/>
  <c r="J17" i="1" s="1"/>
  <c r="I25" i="1"/>
  <c r="J25" i="1" s="1"/>
  <c r="N25" i="1" s="1"/>
  <c r="I33" i="1"/>
  <c r="J33" i="1" s="1"/>
  <c r="I7" i="1"/>
  <c r="J7" i="1" s="1"/>
  <c r="I40" i="1"/>
  <c r="J40" i="1" s="1"/>
  <c r="I49" i="1"/>
  <c r="J49" i="1" s="1"/>
  <c r="I19" i="1"/>
  <c r="J19" i="1" s="1"/>
  <c r="I35" i="1"/>
  <c r="J35" i="1" s="1"/>
  <c r="I43" i="1"/>
  <c r="J43" i="1" s="1"/>
  <c r="I55" i="1"/>
  <c r="J55" i="1" s="1"/>
  <c r="I46" i="1"/>
  <c r="J46" i="1" s="1"/>
  <c r="I8" i="1"/>
  <c r="J8" i="1" s="1"/>
  <c r="I53" i="1"/>
  <c r="J53" i="1" s="1"/>
  <c r="I45" i="1"/>
  <c r="J45" i="1" s="1"/>
  <c r="L17" i="1"/>
  <c r="M17" i="1" s="1"/>
  <c r="L57" i="1"/>
  <c r="L6" i="1"/>
  <c r="M6" i="1" s="1"/>
  <c r="L53" i="1"/>
  <c r="M53" i="1" s="1"/>
  <c r="L45" i="1"/>
  <c r="M45" i="1" s="1"/>
  <c r="L37" i="1"/>
  <c r="M37" i="1" s="1"/>
  <c r="L29" i="1"/>
  <c r="M29" i="1" s="1"/>
  <c r="L21" i="1"/>
  <c r="M21" i="1" s="1"/>
  <c r="L13" i="1"/>
  <c r="M13" i="1" s="1"/>
  <c r="L55" i="1"/>
  <c r="M55" i="1" s="1"/>
  <c r="L51" i="1"/>
  <c r="M51" i="1" s="1"/>
  <c r="L47" i="1"/>
  <c r="M47" i="1" s="1"/>
  <c r="L43" i="1"/>
  <c r="M43" i="1" s="1"/>
  <c r="L39" i="1"/>
  <c r="M39" i="1" s="1"/>
  <c r="L35" i="1"/>
  <c r="M35" i="1" s="1"/>
  <c r="L31" i="1"/>
  <c r="M31" i="1" s="1"/>
  <c r="L27" i="1"/>
  <c r="M27" i="1" s="1"/>
  <c r="L23" i="1"/>
  <c r="M23" i="1" s="1"/>
  <c r="L19" i="1"/>
  <c r="M19" i="1" s="1"/>
  <c r="L15" i="1"/>
  <c r="M15" i="1" s="1"/>
  <c r="L11" i="1"/>
  <c r="M11" i="1" s="1"/>
  <c r="L7" i="1"/>
  <c r="M7" i="1" s="1"/>
  <c r="L56" i="1"/>
  <c r="M56" i="1" s="1"/>
  <c r="L54" i="1"/>
  <c r="M54" i="1" s="1"/>
  <c r="L52" i="1"/>
  <c r="M52" i="1" s="1"/>
  <c r="L50" i="1"/>
  <c r="M50" i="1" s="1"/>
  <c r="L48" i="1"/>
  <c r="M48" i="1" s="1"/>
  <c r="L46" i="1"/>
  <c r="M46" i="1" s="1"/>
  <c r="L44" i="1"/>
  <c r="M44" i="1" s="1"/>
  <c r="L42" i="1"/>
  <c r="M42" i="1" s="1"/>
  <c r="L40" i="1"/>
  <c r="M40" i="1" s="1"/>
  <c r="L38" i="1"/>
  <c r="M38" i="1" s="1"/>
  <c r="L36" i="1"/>
  <c r="M36" i="1" s="1"/>
  <c r="L34" i="1"/>
  <c r="M34" i="1" s="1"/>
  <c r="L32" i="1"/>
  <c r="M32" i="1" s="1"/>
  <c r="L30" i="1"/>
  <c r="M30" i="1" s="1"/>
  <c r="L28" i="1"/>
  <c r="M28" i="1" s="1"/>
  <c r="L26" i="1"/>
  <c r="M26" i="1" s="1"/>
  <c r="L24" i="1"/>
  <c r="M24" i="1" s="1"/>
  <c r="L22" i="1"/>
  <c r="M22" i="1" s="1"/>
  <c r="L20" i="1"/>
  <c r="M20" i="1" s="1"/>
  <c r="L18" i="1"/>
  <c r="M18" i="1" s="1"/>
  <c r="L16" i="1"/>
  <c r="M16" i="1" s="1"/>
  <c r="L49" i="1"/>
  <c r="M49" i="1" s="1"/>
  <c r="N49" i="1" s="1"/>
  <c r="L41" i="1"/>
  <c r="M41" i="1" s="1"/>
  <c r="N9" i="1"/>
  <c r="P56" i="44"/>
  <c r="F27" i="36"/>
  <c r="F22" i="36"/>
  <c r="F43" i="36"/>
  <c r="F54" i="36"/>
  <c r="F28" i="36"/>
  <c r="F51" i="36"/>
  <c r="F35" i="36"/>
  <c r="F19" i="36"/>
  <c r="F38" i="36"/>
  <c r="F10" i="36"/>
  <c r="F40" i="36"/>
  <c r="F55" i="36"/>
  <c r="F47" i="36"/>
  <c r="F39" i="36"/>
  <c r="F31" i="36"/>
  <c r="F23" i="36"/>
  <c r="F15" i="36"/>
  <c r="F48" i="36"/>
  <c r="F50" i="36"/>
  <c r="F46" i="36"/>
  <c r="F30" i="36"/>
  <c r="F14" i="36"/>
  <c r="F44" i="36"/>
  <c r="F13" i="36"/>
  <c r="F11" i="36"/>
  <c r="F57" i="36"/>
  <c r="F53" i="36"/>
  <c r="F49" i="36"/>
  <c r="F45" i="36"/>
  <c r="F41" i="36"/>
  <c r="F37" i="36"/>
  <c r="F33" i="36"/>
  <c r="F29" i="36"/>
  <c r="F25" i="36"/>
  <c r="F21" i="36"/>
  <c r="F17" i="36"/>
  <c r="F56" i="36"/>
  <c r="F52" i="36"/>
  <c r="F42" i="36"/>
  <c r="F34" i="36"/>
  <c r="F26" i="36"/>
  <c r="F18" i="36"/>
  <c r="F12" i="36"/>
  <c r="F8" i="36"/>
  <c r="F36" i="36"/>
  <c r="F20" i="36"/>
  <c r="F9" i="36"/>
  <c r="F24" i="36"/>
  <c r="F32" i="36"/>
  <c r="I13" i="1"/>
  <c r="J13" i="1" s="1"/>
  <c r="I18" i="1"/>
  <c r="J18" i="1" s="1"/>
  <c r="I22" i="1"/>
  <c r="J22" i="1" s="1"/>
  <c r="I26" i="1"/>
  <c r="J26" i="1" s="1"/>
  <c r="I30" i="1"/>
  <c r="J30" i="1" s="1"/>
  <c r="I34" i="1"/>
  <c r="J34" i="1" s="1"/>
  <c r="I38" i="1"/>
  <c r="J38" i="1" s="1"/>
  <c r="I42" i="1"/>
  <c r="J42" i="1" s="1"/>
  <c r="I11" i="1"/>
  <c r="J11" i="1" s="1"/>
  <c r="I20" i="1"/>
  <c r="J20" i="1" s="1"/>
  <c r="I28" i="1"/>
  <c r="J28" i="1" s="1"/>
  <c r="I36" i="1"/>
  <c r="J36" i="1" s="1"/>
  <c r="I44" i="1"/>
  <c r="J44" i="1" s="1"/>
  <c r="I48" i="1"/>
  <c r="J48" i="1" s="1"/>
  <c r="I52" i="1"/>
  <c r="J52" i="1" s="1"/>
  <c r="I56" i="1"/>
  <c r="J56" i="1" s="1"/>
  <c r="I6" i="1"/>
  <c r="I10" i="1"/>
  <c r="J10" i="1" s="1"/>
  <c r="I14" i="1"/>
  <c r="J14" i="1" s="1"/>
  <c r="N14" i="1" s="1"/>
  <c r="I54" i="1"/>
  <c r="J54" i="1" s="1"/>
  <c r="I16" i="1"/>
  <c r="J16" i="1" s="1"/>
  <c r="I31" i="1"/>
  <c r="J31" i="1" s="1"/>
  <c r="I41" i="1"/>
  <c r="J41" i="1" s="1"/>
  <c r="I51" i="1"/>
  <c r="J51" i="1" s="1"/>
  <c r="Z4" i="1"/>
  <c r="E57" i="1"/>
  <c r="F57" i="1"/>
  <c r="G6" i="1" s="1"/>
  <c r="N29" i="1" l="1"/>
  <c r="N23" i="1"/>
  <c r="N12" i="1"/>
  <c r="N8" i="1"/>
  <c r="N40" i="1"/>
  <c r="N38" i="1"/>
  <c r="N28" i="1"/>
  <c r="N27" i="1"/>
  <c r="N19" i="1"/>
  <c r="N24" i="1"/>
  <c r="N50" i="1"/>
  <c r="N39" i="1"/>
  <c r="N15" i="1"/>
  <c r="N52" i="1"/>
  <c r="N37" i="1"/>
  <c r="N16" i="1"/>
  <c r="N11" i="1"/>
  <c r="N21" i="1"/>
  <c r="N10" i="1"/>
  <c r="N32" i="1"/>
  <c r="N33" i="1"/>
  <c r="N22" i="1"/>
  <c r="N55" i="1"/>
  <c r="N45" i="1"/>
  <c r="N47" i="1"/>
  <c r="D58" i="36"/>
  <c r="N7" i="1"/>
  <c r="N44" i="1"/>
  <c r="N13" i="1"/>
  <c r="N41" i="1"/>
  <c r="N30" i="1"/>
  <c r="N43" i="1"/>
  <c r="N17" i="1"/>
  <c r="G49" i="1"/>
  <c r="Z49" i="1" s="1"/>
  <c r="G47" i="1"/>
  <c r="Z47" i="1" s="1"/>
  <c r="G38" i="1"/>
  <c r="Z38" i="1" s="1"/>
  <c r="G32" i="1"/>
  <c r="Z32" i="1" s="1"/>
  <c r="G30" i="1"/>
  <c r="Z30" i="1" s="1"/>
  <c r="G26" i="1"/>
  <c r="Z26" i="1" s="1"/>
  <c r="G42" i="1"/>
  <c r="Z42" i="1" s="1"/>
  <c r="N31" i="1"/>
  <c r="N54" i="1"/>
  <c r="N42" i="1"/>
  <c r="N34" i="1"/>
  <c r="N26" i="1"/>
  <c r="N18" i="1"/>
  <c r="N35" i="1"/>
  <c r="G24" i="1"/>
  <c r="Z24" i="1" s="1"/>
  <c r="G16" i="1"/>
  <c r="Z16" i="1" s="1"/>
  <c r="G14" i="1"/>
  <c r="Z14" i="1" s="1"/>
  <c r="G9" i="1"/>
  <c r="Z9" i="1" s="1"/>
  <c r="G7" i="1"/>
  <c r="Z7" i="1" s="1"/>
  <c r="G50" i="1"/>
  <c r="Z50" i="1" s="1"/>
  <c r="G48" i="1"/>
  <c r="Z48" i="1" s="1"/>
  <c r="G44" i="1"/>
  <c r="Z44" i="1" s="1"/>
  <c r="G39" i="1"/>
  <c r="Z39" i="1" s="1"/>
  <c r="G33" i="1"/>
  <c r="Z33" i="1" s="1"/>
  <c r="G31" i="1"/>
  <c r="Z31" i="1" s="1"/>
  <c r="G27" i="1"/>
  <c r="Z27" i="1" s="1"/>
  <c r="G25" i="1"/>
  <c r="Z25" i="1" s="1"/>
  <c r="G17" i="1"/>
  <c r="Z17" i="1" s="1"/>
  <c r="G15" i="1"/>
  <c r="Z15" i="1" s="1"/>
  <c r="G12" i="1"/>
  <c r="Z12" i="1" s="1"/>
  <c r="G8" i="1"/>
  <c r="Z8" i="1" s="1"/>
  <c r="N53" i="1"/>
  <c r="N46" i="1"/>
  <c r="M57" i="1"/>
  <c r="N51" i="1"/>
  <c r="N56" i="1"/>
  <c r="N48" i="1"/>
  <c r="N36" i="1"/>
  <c r="N20" i="1"/>
  <c r="J6" i="1"/>
  <c r="I57" i="1"/>
  <c r="AB4" i="1"/>
  <c r="AA4" i="1"/>
  <c r="Z6" i="1"/>
  <c r="G56" i="1"/>
  <c r="Z56" i="1" s="1"/>
  <c r="G36" i="1"/>
  <c r="Z36" i="1" s="1"/>
  <c r="G52" i="1"/>
  <c r="Z52" i="1" s="1"/>
  <c r="G20" i="1"/>
  <c r="Z20" i="1" s="1"/>
  <c r="G37" i="1"/>
  <c r="Z37" i="1" s="1"/>
  <c r="G53" i="1"/>
  <c r="Z53" i="1" s="1"/>
  <c r="G41" i="1"/>
  <c r="Z41" i="1" s="1"/>
  <c r="G22" i="1"/>
  <c r="Z22" i="1" s="1"/>
  <c r="G54" i="1"/>
  <c r="Z54" i="1" s="1"/>
  <c r="G45" i="1"/>
  <c r="Z45" i="1" s="1"/>
  <c r="G35" i="1"/>
  <c r="Z35" i="1" s="1"/>
  <c r="G28" i="1"/>
  <c r="Z28" i="1" s="1"/>
  <c r="G13" i="1"/>
  <c r="Z13" i="1" s="1"/>
  <c r="G43" i="1"/>
  <c r="Z43" i="1" s="1"/>
  <c r="G29" i="1"/>
  <c r="Z29" i="1" s="1"/>
  <c r="G19" i="1"/>
  <c r="Z19" i="1" s="1"/>
  <c r="G40" i="1"/>
  <c r="Z40" i="1" s="1"/>
  <c r="G18" i="1"/>
  <c r="Z18" i="1" s="1"/>
  <c r="G21" i="1"/>
  <c r="Z21" i="1" s="1"/>
  <c r="G11" i="1"/>
  <c r="Z11" i="1" s="1"/>
  <c r="G55" i="1"/>
  <c r="Z55" i="1" s="1"/>
  <c r="G51" i="1"/>
  <c r="Z51" i="1" s="1"/>
  <c r="G46" i="1"/>
  <c r="Z46" i="1" s="1"/>
  <c r="G10" i="1"/>
  <c r="Z10" i="1" s="1"/>
  <c r="G23" i="1"/>
  <c r="Z23" i="1" s="1"/>
  <c r="G34" i="1"/>
  <c r="Z34" i="1" s="1"/>
  <c r="Y14" i="1" l="1"/>
  <c r="AB14" i="1" s="1"/>
  <c r="AA35" i="1"/>
  <c r="N6" i="1"/>
  <c r="N57" i="1" s="1"/>
  <c r="J57" i="1"/>
  <c r="AA53" i="1"/>
  <c r="AA15" i="1"/>
  <c r="AA52" i="1"/>
  <c r="AA23" i="1"/>
  <c r="AA11" i="1"/>
  <c r="AA34" i="1"/>
  <c r="AA47" i="1"/>
  <c r="AA8" i="1"/>
  <c r="AA25" i="1"/>
  <c r="AA14" i="1"/>
  <c r="AA45" i="1"/>
  <c r="AA46" i="1"/>
  <c r="AA20" i="1"/>
  <c r="AA10" i="1"/>
  <c r="AA37" i="1"/>
  <c r="AA33" i="1"/>
  <c r="AA9" i="1"/>
  <c r="AA39" i="1"/>
  <c r="AA21" i="1"/>
  <c r="AA49" i="1"/>
  <c r="AA42" i="1"/>
  <c r="AA7" i="1"/>
  <c r="AA24" i="1"/>
  <c r="AA16" i="1"/>
  <c r="AA50" i="1"/>
  <c r="AA38" i="1"/>
  <c r="AA26" i="1"/>
  <c r="AA29" i="1"/>
  <c r="AA44" i="1"/>
  <c r="AA41" i="1"/>
  <c r="AA18" i="1"/>
  <c r="AA31" i="1"/>
  <c r="AA40" i="1"/>
  <c r="AA19" i="1"/>
  <c r="AA51" i="1"/>
  <c r="AA36" i="1"/>
  <c r="AA43" i="1"/>
  <c r="AA55" i="1"/>
  <c r="AA28" i="1"/>
  <c r="AA54" i="1"/>
  <c r="AA17" i="1"/>
  <c r="AA13" i="1"/>
  <c r="AA48" i="1"/>
  <c r="AA56" i="1"/>
  <c r="AA27" i="1"/>
  <c r="AA22" i="1"/>
  <c r="AA30" i="1"/>
  <c r="AA12" i="1"/>
  <c r="AA32" i="1"/>
  <c r="G57" i="1"/>
  <c r="Z57" i="1"/>
  <c r="Y38" i="1" l="1"/>
  <c r="AB38" i="1" s="1"/>
  <c r="Y25" i="1"/>
  <c r="AB25" i="1" s="1"/>
  <c r="Y32" i="1"/>
  <c r="AB32" i="1" s="1"/>
  <c r="Y31" i="1"/>
  <c r="AB31" i="1" s="1"/>
  <c r="Y34" i="1"/>
  <c r="AB34" i="1" s="1"/>
  <c r="Y56" i="1"/>
  <c r="AB56" i="1" s="1"/>
  <c r="Y55" i="1"/>
  <c r="AB55" i="1" s="1"/>
  <c r="Y39" i="1"/>
  <c r="AB39" i="1" s="1"/>
  <c r="Y43" i="1"/>
  <c r="AB43" i="1" s="1"/>
  <c r="Y18" i="1"/>
  <c r="AB18" i="1" s="1"/>
  <c r="Y19" i="1"/>
  <c r="AB19" i="1" s="1"/>
  <c r="Y51" i="1"/>
  <c r="AB51" i="1" s="1"/>
  <c r="Y15" i="1"/>
  <c r="AB15" i="1" s="1"/>
  <c r="Y27" i="1"/>
  <c r="AB27" i="1" s="1"/>
  <c r="Y46" i="1"/>
  <c r="AB46" i="1" s="1"/>
  <c r="Y30" i="1"/>
  <c r="AB30" i="1" s="1"/>
  <c r="Y50" i="1"/>
  <c r="AB50" i="1" s="1"/>
  <c r="Y47" i="1"/>
  <c r="AB47" i="1" s="1"/>
  <c r="Y13" i="1"/>
  <c r="AB13" i="1" s="1"/>
  <c r="Y49" i="1"/>
  <c r="AB49" i="1" s="1"/>
  <c r="Y37" i="1"/>
  <c r="AB37" i="1" s="1"/>
  <c r="Y26" i="1"/>
  <c r="AB26" i="1" s="1"/>
  <c r="Y36" i="1"/>
  <c r="AB36" i="1" s="1"/>
  <c r="Y9" i="1"/>
  <c r="AB9" i="1" s="1"/>
  <c r="Y17" i="1"/>
  <c r="AB17" i="1" s="1"/>
  <c r="U57" i="1"/>
  <c r="Y23" i="1"/>
  <c r="AB23" i="1" s="1"/>
  <c r="X57" i="1"/>
  <c r="Y6" i="1"/>
  <c r="AB6" i="1" s="1"/>
  <c r="Y21" i="1"/>
  <c r="AB21" i="1" s="1"/>
  <c r="Y52" i="1"/>
  <c r="AB52" i="1" s="1"/>
  <c r="Y33" i="1"/>
  <c r="AB33" i="1" s="1"/>
  <c r="Y11" i="1"/>
  <c r="AB11" i="1" s="1"/>
  <c r="Y22" i="1"/>
  <c r="AB22" i="1" s="1"/>
  <c r="Y28" i="1"/>
  <c r="AB28" i="1" s="1"/>
  <c r="Y35" i="1"/>
  <c r="AB35" i="1" s="1"/>
  <c r="Y48" i="1"/>
  <c r="AB48" i="1" s="1"/>
  <c r="Y7" i="1"/>
  <c r="AB7" i="1" s="1"/>
  <c r="Y53" i="1"/>
  <c r="AB53" i="1" s="1"/>
  <c r="Y10" i="1"/>
  <c r="AB10" i="1" s="1"/>
  <c r="Y44" i="1"/>
  <c r="AB44" i="1" s="1"/>
  <c r="Y41" i="1"/>
  <c r="AB41" i="1" s="1"/>
  <c r="Y24" i="1"/>
  <c r="AB24" i="1" s="1"/>
  <c r="Y20" i="1"/>
  <c r="AB20" i="1" s="1"/>
  <c r="Y40" i="1"/>
  <c r="AB40" i="1" s="1"/>
  <c r="Y54" i="1"/>
  <c r="AB54" i="1" s="1"/>
  <c r="Y45" i="1"/>
  <c r="AB45" i="1" s="1"/>
  <c r="Y29" i="1"/>
  <c r="AB29" i="1" s="1"/>
  <c r="Y12" i="1"/>
  <c r="AB12" i="1" s="1"/>
  <c r="Y16" i="1"/>
  <c r="AB16" i="1" s="1"/>
  <c r="Y8" i="1"/>
  <c r="AB8" i="1" s="1"/>
  <c r="Y42" i="1"/>
  <c r="AB42" i="1" s="1"/>
  <c r="AA6" i="1"/>
  <c r="AA57" i="1" s="1"/>
  <c r="Y57" i="1" l="1"/>
  <c r="AC35" i="1" s="1"/>
  <c r="AC10" i="1" l="1"/>
  <c r="AC48" i="1"/>
  <c r="AC20" i="1"/>
  <c r="AC22" i="1"/>
  <c r="AC24" i="1"/>
  <c r="AC23" i="1"/>
  <c r="AC8" i="1"/>
  <c r="AC52" i="1"/>
  <c r="AC40" i="1"/>
  <c r="AC7" i="1"/>
  <c r="AC28" i="1"/>
  <c r="AC42" i="1"/>
  <c r="AC33" i="1"/>
  <c r="AC53" i="1"/>
  <c r="AC45" i="1"/>
  <c r="AC11" i="1"/>
  <c r="AC29" i="1"/>
  <c r="AC44" i="1"/>
  <c r="AC12" i="1"/>
  <c r="AC41" i="1"/>
  <c r="AC46" i="1"/>
  <c r="AC30" i="1"/>
  <c r="AC39" i="1"/>
  <c r="AC14" i="1"/>
  <c r="AC37" i="1"/>
  <c r="AC26" i="1"/>
  <c r="AC34" i="1"/>
  <c r="AC49" i="1"/>
  <c r="AC51" i="1"/>
  <c r="AC38" i="1"/>
  <c r="AC27" i="1"/>
  <c r="AC15" i="1"/>
  <c r="AC36" i="1"/>
  <c r="AC32" i="1"/>
  <c r="AC25" i="1"/>
  <c r="AC9" i="1"/>
  <c r="AC31" i="1"/>
  <c r="AC18" i="1"/>
  <c r="AC17" i="1"/>
  <c r="AC56" i="1"/>
  <c r="AC13" i="1"/>
  <c r="AC55" i="1"/>
  <c r="AC50" i="1"/>
  <c r="AC43" i="1"/>
  <c r="AC19" i="1"/>
  <c r="AC47" i="1"/>
  <c r="AC21" i="1"/>
  <c r="AC54" i="1"/>
  <c r="AC16" i="1"/>
  <c r="AB57" i="1" l="1"/>
  <c r="AC6" i="1"/>
  <c r="AC57" i="1" l="1"/>
  <c r="AD6" i="1" l="1"/>
  <c r="AD30" i="1"/>
  <c r="AD56" i="1"/>
  <c r="AD23" i="1"/>
  <c r="AD26" i="1"/>
  <c r="AD31" i="1"/>
  <c r="AD39" i="1"/>
  <c r="AD27" i="1"/>
  <c r="AD34" i="1"/>
  <c r="AD7" i="1"/>
  <c r="AD51" i="1"/>
  <c r="AD47" i="1"/>
  <c r="AD55" i="1"/>
  <c r="AD18" i="1"/>
  <c r="AD45" i="1"/>
  <c r="AD52" i="1"/>
  <c r="AD38" i="1"/>
  <c r="AD12" i="1"/>
  <c r="AD42" i="1"/>
  <c r="AD9" i="1"/>
  <c r="AD37" i="1"/>
  <c r="AD35" i="1"/>
  <c r="AD40" i="1"/>
  <c r="AD44" i="1"/>
  <c r="AD22" i="1"/>
  <c r="AD14" i="1"/>
  <c r="AD54" i="1"/>
  <c r="AD17" i="1"/>
  <c r="AD36" i="1"/>
  <c r="AD33" i="1"/>
  <c r="AD48" i="1"/>
  <c r="AD50" i="1"/>
  <c r="AD25" i="1"/>
  <c r="AD28" i="1"/>
  <c r="AD15" i="1"/>
  <c r="AD13" i="1"/>
  <c r="AD10" i="1"/>
  <c r="AD29" i="1"/>
  <c r="AD16" i="1"/>
  <c r="AD19" i="1"/>
  <c r="AD11" i="1"/>
  <c r="AD24" i="1"/>
  <c r="AD21" i="1"/>
  <c r="AD53" i="1"/>
  <c r="AD43" i="1"/>
  <c r="AD46" i="1"/>
  <c r="AD32" i="1"/>
  <c r="AD49" i="1"/>
  <c r="AD41" i="1"/>
  <c r="AD20" i="1"/>
  <c r="AD8" i="1"/>
  <c r="G47" i="52" l="1"/>
  <c r="H48" i="51" s="1"/>
  <c r="H48" i="54" s="1"/>
  <c r="G49" i="36"/>
  <c r="H47" i="52"/>
  <c r="I48" i="51" s="1"/>
  <c r="I48" i="54" s="1"/>
  <c r="D47" i="52"/>
  <c r="D48" i="51" s="1"/>
  <c r="D48" i="54" s="1"/>
  <c r="E47" i="52"/>
  <c r="F48" i="51" s="1"/>
  <c r="F48" i="54" s="1"/>
  <c r="F47" i="52"/>
  <c r="G48" i="51" s="1"/>
  <c r="G48" i="54" s="1"/>
  <c r="C47" i="52"/>
  <c r="C48" i="51" s="1"/>
  <c r="G49" i="52"/>
  <c r="H50" i="51" s="1"/>
  <c r="H50" i="54" s="1"/>
  <c r="G51" i="36"/>
  <c r="F49" i="52"/>
  <c r="G50" i="51" s="1"/>
  <c r="G50" i="54" s="1"/>
  <c r="E49" i="52"/>
  <c r="F50" i="51" s="1"/>
  <c r="F50" i="54" s="1"/>
  <c r="H49" i="52"/>
  <c r="I50" i="51" s="1"/>
  <c r="I50" i="54" s="1"/>
  <c r="D49" i="52"/>
  <c r="D50" i="51" s="1"/>
  <c r="D50" i="54" s="1"/>
  <c r="C49" i="52"/>
  <c r="C50" i="51" s="1"/>
  <c r="G45" i="52"/>
  <c r="H46" i="51" s="1"/>
  <c r="H46" i="54" s="1"/>
  <c r="G47" i="36"/>
  <c r="H45" i="52"/>
  <c r="I46" i="51" s="1"/>
  <c r="I46" i="54" s="1"/>
  <c r="E45" i="52"/>
  <c r="F46" i="51" s="1"/>
  <c r="F46" i="54" s="1"/>
  <c r="F45" i="52"/>
  <c r="G46" i="51" s="1"/>
  <c r="G46" i="54" s="1"/>
  <c r="D45" i="52"/>
  <c r="D46" i="51" s="1"/>
  <c r="D46" i="54" s="1"/>
  <c r="C45" i="52"/>
  <c r="C46" i="51" s="1"/>
  <c r="G42" i="52"/>
  <c r="H43" i="51" s="1"/>
  <c r="H43" i="54" s="1"/>
  <c r="G44" i="36"/>
  <c r="D42" i="52"/>
  <c r="D43" i="51" s="1"/>
  <c r="D43" i="54" s="1"/>
  <c r="H42" i="52"/>
  <c r="I43" i="51" s="1"/>
  <c r="I43" i="54" s="1"/>
  <c r="E42" i="52"/>
  <c r="F43" i="51" s="1"/>
  <c r="F43" i="54" s="1"/>
  <c r="F42" i="52"/>
  <c r="G43" i="51" s="1"/>
  <c r="G43" i="54" s="1"/>
  <c r="C42" i="52"/>
  <c r="C43" i="51" s="1"/>
  <c r="G6" i="52"/>
  <c r="H7" i="51" s="1"/>
  <c r="H7" i="54" s="1"/>
  <c r="G8" i="36"/>
  <c r="F6" i="52"/>
  <c r="G7" i="51" s="1"/>
  <c r="G7" i="54" s="1"/>
  <c r="H6" i="52"/>
  <c r="I7" i="51" s="1"/>
  <c r="I7" i="54" s="1"/>
  <c r="D6" i="52"/>
  <c r="D7" i="51" s="1"/>
  <c r="D7" i="54" s="1"/>
  <c r="E6" i="52"/>
  <c r="F7" i="51" s="1"/>
  <c r="F7" i="54" s="1"/>
  <c r="C6" i="52"/>
  <c r="C7" i="51" s="1"/>
  <c r="G44" i="52"/>
  <c r="H45" i="51" s="1"/>
  <c r="H45" i="54" s="1"/>
  <c r="G46" i="36"/>
  <c r="D44" i="52"/>
  <c r="D45" i="51" s="1"/>
  <c r="D45" i="54" s="1"/>
  <c r="H44" i="52"/>
  <c r="I45" i="51" s="1"/>
  <c r="I45" i="54" s="1"/>
  <c r="F44" i="52"/>
  <c r="G45" i="51" s="1"/>
  <c r="G45" i="54" s="1"/>
  <c r="E44" i="52"/>
  <c r="F45" i="51" s="1"/>
  <c r="F45" i="54" s="1"/>
  <c r="C44" i="52"/>
  <c r="C45" i="51" s="1"/>
  <c r="G54" i="52"/>
  <c r="H55" i="51" s="1"/>
  <c r="H55" i="54" s="1"/>
  <c r="G56" i="36"/>
  <c r="D54" i="52"/>
  <c r="D55" i="51" s="1"/>
  <c r="D55" i="54" s="1"/>
  <c r="H54" i="52"/>
  <c r="I55" i="51" s="1"/>
  <c r="I55" i="54" s="1"/>
  <c r="F54" i="52"/>
  <c r="G55" i="51" s="1"/>
  <c r="G55" i="54" s="1"/>
  <c r="E54" i="52"/>
  <c r="F55" i="51" s="1"/>
  <c r="F55" i="54" s="1"/>
  <c r="C54" i="52"/>
  <c r="C55" i="51" s="1"/>
  <c r="G53" i="52"/>
  <c r="H54" i="51" s="1"/>
  <c r="H54" i="54" s="1"/>
  <c r="G55" i="36"/>
  <c r="F53" i="52"/>
  <c r="G54" i="51" s="1"/>
  <c r="G54" i="54" s="1"/>
  <c r="E53" i="52"/>
  <c r="F54" i="51" s="1"/>
  <c r="F54" i="54" s="1"/>
  <c r="D53" i="52"/>
  <c r="D54" i="51" s="1"/>
  <c r="D54" i="54" s="1"/>
  <c r="H53" i="52"/>
  <c r="I54" i="51" s="1"/>
  <c r="I54" i="54" s="1"/>
  <c r="C53" i="52"/>
  <c r="C54" i="51" s="1"/>
  <c r="G21" i="52"/>
  <c r="H22" i="51" s="1"/>
  <c r="H22" i="54" s="1"/>
  <c r="G23" i="36"/>
  <c r="F21" i="52"/>
  <c r="G22" i="51" s="1"/>
  <c r="G22" i="54" s="1"/>
  <c r="H21" i="52"/>
  <c r="I22" i="51" s="1"/>
  <c r="I22" i="54" s="1"/>
  <c r="E21" i="52"/>
  <c r="F22" i="51" s="1"/>
  <c r="F22" i="54" s="1"/>
  <c r="D21" i="52"/>
  <c r="D22" i="51" s="1"/>
  <c r="D22" i="54" s="1"/>
  <c r="C21" i="52"/>
  <c r="C22" i="51" s="1"/>
  <c r="G18" i="52"/>
  <c r="H19" i="51" s="1"/>
  <c r="H19" i="54" s="1"/>
  <c r="G20" i="36"/>
  <c r="E18" i="52"/>
  <c r="F19" i="51" s="1"/>
  <c r="F19" i="54" s="1"/>
  <c r="H18" i="52"/>
  <c r="I19" i="51" s="1"/>
  <c r="I19" i="54" s="1"/>
  <c r="D18" i="52"/>
  <c r="D19" i="51" s="1"/>
  <c r="D19" i="54" s="1"/>
  <c r="F18" i="52"/>
  <c r="G19" i="51" s="1"/>
  <c r="G19" i="54" s="1"/>
  <c r="C18" i="52"/>
  <c r="C19" i="51" s="1"/>
  <c r="G15" i="52"/>
  <c r="H16" i="51" s="1"/>
  <c r="H16" i="54" s="1"/>
  <c r="G17" i="36"/>
  <c r="F15" i="52"/>
  <c r="G16" i="51" s="1"/>
  <c r="G16" i="54" s="1"/>
  <c r="H15" i="52"/>
  <c r="I16" i="51" s="1"/>
  <c r="I16" i="54" s="1"/>
  <c r="D15" i="52"/>
  <c r="D16" i="51" s="1"/>
  <c r="D16" i="54" s="1"/>
  <c r="E15" i="52"/>
  <c r="F16" i="51" s="1"/>
  <c r="F16" i="54" s="1"/>
  <c r="C15" i="52"/>
  <c r="C16" i="51" s="1"/>
  <c r="G14" i="52"/>
  <c r="H15" i="51" s="1"/>
  <c r="H15" i="54" s="1"/>
  <c r="G16" i="36"/>
  <c r="D14" i="52"/>
  <c r="D15" i="51" s="1"/>
  <c r="D15" i="54" s="1"/>
  <c r="E14" i="52"/>
  <c r="F15" i="51" s="1"/>
  <c r="F15" i="54" s="1"/>
  <c r="F14" i="52"/>
  <c r="G15" i="51" s="1"/>
  <c r="G15" i="54" s="1"/>
  <c r="H14" i="52"/>
  <c r="I15" i="51" s="1"/>
  <c r="I15" i="54" s="1"/>
  <c r="C14" i="52"/>
  <c r="C15" i="51" s="1"/>
  <c r="G51" i="52"/>
  <c r="H52" i="51" s="1"/>
  <c r="H52" i="54" s="1"/>
  <c r="G53" i="36"/>
  <c r="E51" i="52"/>
  <c r="F52" i="51" s="1"/>
  <c r="F52" i="54" s="1"/>
  <c r="H51" i="52"/>
  <c r="I52" i="51" s="1"/>
  <c r="I52" i="54" s="1"/>
  <c r="F51" i="52"/>
  <c r="G52" i="51" s="1"/>
  <c r="G52" i="54" s="1"/>
  <c r="D51" i="52"/>
  <c r="D52" i="51" s="1"/>
  <c r="D52" i="54" s="1"/>
  <c r="C51" i="52"/>
  <c r="C52" i="51" s="1"/>
  <c r="G17" i="52"/>
  <c r="H18" i="51" s="1"/>
  <c r="H18" i="54" s="1"/>
  <c r="G19" i="36"/>
  <c r="F17" i="52"/>
  <c r="G18" i="51" s="1"/>
  <c r="G18" i="54" s="1"/>
  <c r="H17" i="52"/>
  <c r="I18" i="51" s="1"/>
  <c r="I18" i="54" s="1"/>
  <c r="D17" i="52"/>
  <c r="D18" i="51" s="1"/>
  <c r="D18" i="54" s="1"/>
  <c r="E17" i="52"/>
  <c r="F18" i="51" s="1"/>
  <c r="F18" i="54" s="1"/>
  <c r="C17" i="52"/>
  <c r="C18" i="51" s="1"/>
  <c r="G52" i="52"/>
  <c r="H53" i="51" s="1"/>
  <c r="H53" i="54" s="1"/>
  <c r="G54" i="36"/>
  <c r="F52" i="52"/>
  <c r="G53" i="51" s="1"/>
  <c r="G53" i="54" s="1"/>
  <c r="E52" i="52"/>
  <c r="F53" i="51" s="1"/>
  <c r="F53" i="54" s="1"/>
  <c r="H52" i="52"/>
  <c r="I53" i="51" s="1"/>
  <c r="I53" i="54" s="1"/>
  <c r="D52" i="52"/>
  <c r="D53" i="51" s="1"/>
  <c r="D53" i="54" s="1"/>
  <c r="C52" i="52"/>
  <c r="C53" i="51" s="1"/>
  <c r="G46" i="52"/>
  <c r="H47" i="51" s="1"/>
  <c r="H47" i="54" s="1"/>
  <c r="G48" i="36"/>
  <c r="D46" i="52"/>
  <c r="D47" i="51" s="1"/>
  <c r="D47" i="54" s="1"/>
  <c r="E46" i="52"/>
  <c r="F47" i="51" s="1"/>
  <c r="F47" i="54" s="1"/>
  <c r="F46" i="52"/>
  <c r="G47" i="51" s="1"/>
  <c r="G47" i="54" s="1"/>
  <c r="H46" i="52"/>
  <c r="I47" i="51" s="1"/>
  <c r="I47" i="54" s="1"/>
  <c r="C46" i="52"/>
  <c r="C47" i="51" s="1"/>
  <c r="G20" i="52"/>
  <c r="H21" i="51" s="1"/>
  <c r="H21" i="54" s="1"/>
  <c r="G22" i="36"/>
  <c r="H20" i="52"/>
  <c r="I21" i="51" s="1"/>
  <c r="I21" i="54" s="1"/>
  <c r="F20" i="52"/>
  <c r="G21" i="51" s="1"/>
  <c r="G21" i="54" s="1"/>
  <c r="D20" i="52"/>
  <c r="D21" i="51" s="1"/>
  <c r="D21" i="54" s="1"/>
  <c r="E20" i="52"/>
  <c r="F21" i="51" s="1"/>
  <c r="F21" i="54" s="1"/>
  <c r="C20" i="52"/>
  <c r="C21" i="51" s="1"/>
  <c r="G13" i="52"/>
  <c r="H14" i="51" s="1"/>
  <c r="H14" i="54" s="1"/>
  <c r="G15" i="36"/>
  <c r="F13" i="52"/>
  <c r="G14" i="51" s="1"/>
  <c r="G14" i="54" s="1"/>
  <c r="H13" i="52"/>
  <c r="I14" i="51" s="1"/>
  <c r="I14" i="54" s="1"/>
  <c r="D13" i="52"/>
  <c r="D14" i="51" s="1"/>
  <c r="D14" i="54" s="1"/>
  <c r="E13" i="52"/>
  <c r="F14" i="51" s="1"/>
  <c r="F14" i="54" s="1"/>
  <c r="C13" i="52"/>
  <c r="C14" i="51" s="1"/>
  <c r="G10" i="52"/>
  <c r="H11" i="51" s="1"/>
  <c r="H11" i="54" s="1"/>
  <c r="G12" i="36"/>
  <c r="F10" i="52"/>
  <c r="G11" i="51" s="1"/>
  <c r="G11" i="54" s="1"/>
  <c r="D10" i="52"/>
  <c r="D11" i="51" s="1"/>
  <c r="D11" i="54" s="1"/>
  <c r="H10" i="52"/>
  <c r="I11" i="51" s="1"/>
  <c r="I11" i="54" s="1"/>
  <c r="E10" i="52"/>
  <c r="F11" i="51" s="1"/>
  <c r="F11" i="54" s="1"/>
  <c r="C10" i="52"/>
  <c r="C11" i="51" s="1"/>
  <c r="G26" i="52"/>
  <c r="H27" i="51" s="1"/>
  <c r="H27" i="54" s="1"/>
  <c r="G28" i="36"/>
  <c r="H26" i="52"/>
  <c r="I27" i="51" s="1"/>
  <c r="I27" i="54" s="1"/>
  <c r="F26" i="52"/>
  <c r="G27" i="51" s="1"/>
  <c r="G27" i="54" s="1"/>
  <c r="E26" i="52"/>
  <c r="F27" i="51" s="1"/>
  <c r="F27" i="54" s="1"/>
  <c r="D26" i="52"/>
  <c r="D27" i="51" s="1"/>
  <c r="D27" i="54" s="1"/>
  <c r="C26" i="52"/>
  <c r="C27" i="51" s="1"/>
  <c r="G38" i="52"/>
  <c r="H39" i="51" s="1"/>
  <c r="H39" i="54" s="1"/>
  <c r="G40" i="36"/>
  <c r="E38" i="52"/>
  <c r="F39" i="51" s="1"/>
  <c r="F39" i="54" s="1"/>
  <c r="F38" i="52"/>
  <c r="G39" i="51" s="1"/>
  <c r="G39" i="54" s="1"/>
  <c r="H38" i="52"/>
  <c r="I39" i="51" s="1"/>
  <c r="I39" i="54" s="1"/>
  <c r="D38" i="52"/>
  <c r="D39" i="51" s="1"/>
  <c r="D39" i="54" s="1"/>
  <c r="C38" i="52"/>
  <c r="C39" i="51" s="1"/>
  <c r="G34" i="52"/>
  <c r="H35" i="51" s="1"/>
  <c r="H35" i="54" s="1"/>
  <c r="G36" i="36"/>
  <c r="E34" i="52"/>
  <c r="F35" i="51" s="1"/>
  <c r="F35" i="54" s="1"/>
  <c r="D34" i="52"/>
  <c r="D35" i="51" s="1"/>
  <c r="D35" i="54" s="1"/>
  <c r="H34" i="52"/>
  <c r="I35" i="51" s="1"/>
  <c r="I35" i="54" s="1"/>
  <c r="F34" i="52"/>
  <c r="G35" i="51" s="1"/>
  <c r="G35" i="54" s="1"/>
  <c r="C34" i="52"/>
  <c r="C35" i="51" s="1"/>
  <c r="G36" i="52"/>
  <c r="H37" i="51" s="1"/>
  <c r="H37" i="54" s="1"/>
  <c r="G38" i="36"/>
  <c r="H36" i="52"/>
  <c r="I37" i="51" s="1"/>
  <c r="I37" i="54" s="1"/>
  <c r="F36" i="52"/>
  <c r="G37" i="51" s="1"/>
  <c r="G37" i="54" s="1"/>
  <c r="E36" i="52"/>
  <c r="F37" i="51" s="1"/>
  <c r="F37" i="54" s="1"/>
  <c r="D36" i="52"/>
  <c r="D37" i="51" s="1"/>
  <c r="D37" i="54" s="1"/>
  <c r="C36" i="52"/>
  <c r="C37" i="51" s="1"/>
  <c r="G8" i="52"/>
  <c r="H9" i="51" s="1"/>
  <c r="H9" i="54" s="1"/>
  <c r="G10" i="36"/>
  <c r="H8" i="52"/>
  <c r="I9" i="51" s="1"/>
  <c r="I9" i="54" s="1"/>
  <c r="E8" i="52"/>
  <c r="F9" i="51" s="1"/>
  <c r="F9" i="54" s="1"/>
  <c r="F8" i="52"/>
  <c r="G9" i="51" s="1"/>
  <c r="G9" i="54" s="1"/>
  <c r="D8" i="52"/>
  <c r="D9" i="51" s="1"/>
  <c r="D9" i="54" s="1"/>
  <c r="C8" i="52"/>
  <c r="C9" i="51" s="1"/>
  <c r="G11" i="52"/>
  <c r="H12" i="51" s="1"/>
  <c r="H12" i="54" s="1"/>
  <c r="G13" i="36"/>
  <c r="D11" i="52"/>
  <c r="D12" i="51" s="1"/>
  <c r="D12" i="54" s="1"/>
  <c r="H11" i="52"/>
  <c r="I12" i="51" s="1"/>
  <c r="I12" i="54" s="1"/>
  <c r="F11" i="52"/>
  <c r="G12" i="51" s="1"/>
  <c r="G12" i="54" s="1"/>
  <c r="E11" i="52"/>
  <c r="F12" i="51" s="1"/>
  <c r="F12" i="54" s="1"/>
  <c r="C11" i="52"/>
  <c r="C12" i="51" s="1"/>
  <c r="G29" i="52"/>
  <c r="H30" i="51" s="1"/>
  <c r="H30" i="54" s="1"/>
  <c r="G31" i="36"/>
  <c r="F29" i="52"/>
  <c r="G30" i="51" s="1"/>
  <c r="G30" i="54" s="1"/>
  <c r="H29" i="52"/>
  <c r="I30" i="51" s="1"/>
  <c r="I30" i="54" s="1"/>
  <c r="E29" i="52"/>
  <c r="F30" i="51" s="1"/>
  <c r="F30" i="54" s="1"/>
  <c r="D29" i="52"/>
  <c r="D30" i="51" s="1"/>
  <c r="D30" i="54" s="1"/>
  <c r="C29" i="52"/>
  <c r="C30" i="51" s="1"/>
  <c r="G48" i="52"/>
  <c r="H49" i="51" s="1"/>
  <c r="H49" i="54" s="1"/>
  <c r="G50" i="36"/>
  <c r="E48" i="52"/>
  <c r="F49" i="51" s="1"/>
  <c r="F49" i="54" s="1"/>
  <c r="H48" i="52"/>
  <c r="I49" i="51" s="1"/>
  <c r="I49" i="54" s="1"/>
  <c r="F48" i="52"/>
  <c r="G49" i="51" s="1"/>
  <c r="G49" i="54" s="1"/>
  <c r="D48" i="52"/>
  <c r="D49" i="51" s="1"/>
  <c r="D49" i="54" s="1"/>
  <c r="C48" i="52"/>
  <c r="C49" i="51" s="1"/>
  <c r="G31" i="52"/>
  <c r="H32" i="51" s="1"/>
  <c r="H32" i="54" s="1"/>
  <c r="G33" i="36"/>
  <c r="D31" i="52"/>
  <c r="D32" i="51" s="1"/>
  <c r="D32" i="54" s="1"/>
  <c r="F31" i="52"/>
  <c r="G32" i="51" s="1"/>
  <c r="G32" i="54" s="1"/>
  <c r="E31" i="52"/>
  <c r="F32" i="51" s="1"/>
  <c r="F32" i="54" s="1"/>
  <c r="H31" i="52"/>
  <c r="I32" i="51" s="1"/>
  <c r="I32" i="54" s="1"/>
  <c r="C31" i="52"/>
  <c r="C32" i="51" s="1"/>
  <c r="G32" i="52"/>
  <c r="H33" i="51" s="1"/>
  <c r="H33" i="54" s="1"/>
  <c r="G34" i="36"/>
  <c r="E32" i="52"/>
  <c r="F33" i="51" s="1"/>
  <c r="F33" i="54" s="1"/>
  <c r="D32" i="52"/>
  <c r="D33" i="51" s="1"/>
  <c r="D33" i="54" s="1"/>
  <c r="F32" i="52"/>
  <c r="G33" i="51" s="1"/>
  <c r="G33" i="54" s="1"/>
  <c r="H32" i="52"/>
  <c r="I33" i="51" s="1"/>
  <c r="I33" i="54" s="1"/>
  <c r="C32" i="52"/>
  <c r="C33" i="51" s="1"/>
  <c r="G35" i="52"/>
  <c r="H36" i="51" s="1"/>
  <c r="H36" i="54" s="1"/>
  <c r="G37" i="36"/>
  <c r="F35" i="52"/>
  <c r="G36" i="51" s="1"/>
  <c r="G36" i="54" s="1"/>
  <c r="D35" i="52"/>
  <c r="D36" i="51" s="1"/>
  <c r="D36" i="54" s="1"/>
  <c r="E35" i="52"/>
  <c r="F36" i="51" s="1"/>
  <c r="F36" i="54" s="1"/>
  <c r="H35" i="52"/>
  <c r="I36" i="51" s="1"/>
  <c r="I36" i="54" s="1"/>
  <c r="C35" i="52"/>
  <c r="C36" i="51" s="1"/>
  <c r="G16" i="52"/>
  <c r="H17" i="51" s="1"/>
  <c r="H17" i="54" s="1"/>
  <c r="G18" i="36"/>
  <c r="H16" i="52"/>
  <c r="I17" i="51" s="1"/>
  <c r="I17" i="54" s="1"/>
  <c r="E16" i="52"/>
  <c r="F17" i="51" s="1"/>
  <c r="F17" i="54" s="1"/>
  <c r="D16" i="52"/>
  <c r="D17" i="51" s="1"/>
  <c r="D17" i="54" s="1"/>
  <c r="F16" i="52"/>
  <c r="G17" i="51" s="1"/>
  <c r="G17" i="54" s="1"/>
  <c r="C16" i="52"/>
  <c r="C17" i="51" s="1"/>
  <c r="G50" i="52"/>
  <c r="H51" i="51" s="1"/>
  <c r="H51" i="54" s="1"/>
  <c r="G52" i="36"/>
  <c r="D50" i="52"/>
  <c r="D51" i="51" s="1"/>
  <c r="D51" i="54" s="1"/>
  <c r="E50" i="52"/>
  <c r="F51" i="51" s="1"/>
  <c r="F51" i="54" s="1"/>
  <c r="H50" i="52"/>
  <c r="I51" i="51" s="1"/>
  <c r="I51" i="54" s="1"/>
  <c r="F50" i="52"/>
  <c r="G51" i="51" s="1"/>
  <c r="G51" i="54" s="1"/>
  <c r="C50" i="52"/>
  <c r="C51" i="51" s="1"/>
  <c r="G23" i="52"/>
  <c r="H24" i="51" s="1"/>
  <c r="H24" i="54" s="1"/>
  <c r="G25" i="36"/>
  <c r="H23" i="52"/>
  <c r="I24" i="51" s="1"/>
  <c r="I24" i="54" s="1"/>
  <c r="E23" i="52"/>
  <c r="F24" i="51" s="1"/>
  <c r="F24" i="54" s="1"/>
  <c r="D23" i="52"/>
  <c r="D24" i="51" s="1"/>
  <c r="D24" i="54" s="1"/>
  <c r="F23" i="52"/>
  <c r="G24" i="51" s="1"/>
  <c r="G24" i="54" s="1"/>
  <c r="C23" i="52"/>
  <c r="C24" i="51" s="1"/>
  <c r="G33" i="52"/>
  <c r="H34" i="51" s="1"/>
  <c r="H34" i="54" s="1"/>
  <c r="G35" i="36"/>
  <c r="H33" i="52"/>
  <c r="I34" i="51" s="1"/>
  <c r="I34" i="54" s="1"/>
  <c r="F33" i="52"/>
  <c r="G34" i="51" s="1"/>
  <c r="G34" i="54" s="1"/>
  <c r="D33" i="52"/>
  <c r="D34" i="51" s="1"/>
  <c r="D34" i="54" s="1"/>
  <c r="E33" i="52"/>
  <c r="F34" i="51" s="1"/>
  <c r="F34" i="54" s="1"/>
  <c r="C33" i="52"/>
  <c r="C34" i="51" s="1"/>
  <c r="G43" i="52"/>
  <c r="H44" i="51" s="1"/>
  <c r="H44" i="54" s="1"/>
  <c r="G45" i="36"/>
  <c r="H43" i="52"/>
  <c r="I44" i="51" s="1"/>
  <c r="I44" i="54" s="1"/>
  <c r="E43" i="52"/>
  <c r="F44" i="51" s="1"/>
  <c r="F44" i="54" s="1"/>
  <c r="F43" i="52"/>
  <c r="G44" i="51" s="1"/>
  <c r="G44" i="54" s="1"/>
  <c r="D43" i="52"/>
  <c r="D44" i="51" s="1"/>
  <c r="D44" i="54" s="1"/>
  <c r="C43" i="52"/>
  <c r="C44" i="51" s="1"/>
  <c r="G39" i="52"/>
  <c r="H40" i="51" s="1"/>
  <c r="H40" i="54" s="1"/>
  <c r="G41" i="36"/>
  <c r="F39" i="52"/>
  <c r="G40" i="51" s="1"/>
  <c r="G40" i="54" s="1"/>
  <c r="D39" i="52"/>
  <c r="D40" i="51" s="1"/>
  <c r="D40" i="54" s="1"/>
  <c r="H39" i="52"/>
  <c r="I40" i="51" s="1"/>
  <c r="I40" i="54" s="1"/>
  <c r="E39" i="52"/>
  <c r="F40" i="51" s="1"/>
  <c r="F40" i="54" s="1"/>
  <c r="C39" i="52"/>
  <c r="C40" i="51" s="1"/>
  <c r="G28" i="52"/>
  <c r="H29" i="51" s="1"/>
  <c r="H29" i="54" s="1"/>
  <c r="G30" i="36"/>
  <c r="D28" i="52"/>
  <c r="D29" i="51" s="1"/>
  <c r="D29" i="54" s="1"/>
  <c r="E28" i="52"/>
  <c r="F29" i="51" s="1"/>
  <c r="F29" i="54" s="1"/>
  <c r="H28" i="52"/>
  <c r="I29" i="51" s="1"/>
  <c r="I29" i="54" s="1"/>
  <c r="F28" i="52"/>
  <c r="G29" i="51" s="1"/>
  <c r="G29" i="54" s="1"/>
  <c r="C28" i="52"/>
  <c r="C29" i="51" s="1"/>
  <c r="G30" i="52"/>
  <c r="H31" i="51" s="1"/>
  <c r="H31" i="54" s="1"/>
  <c r="G32" i="36"/>
  <c r="D30" i="52"/>
  <c r="D31" i="51" s="1"/>
  <c r="D31" i="54" s="1"/>
  <c r="E30" i="52"/>
  <c r="F31" i="51" s="1"/>
  <c r="F31" i="54" s="1"/>
  <c r="F30" i="52"/>
  <c r="G31" i="51" s="1"/>
  <c r="G31" i="54" s="1"/>
  <c r="H30" i="52"/>
  <c r="I31" i="51" s="1"/>
  <c r="I31" i="54" s="1"/>
  <c r="C30" i="52"/>
  <c r="C31" i="51" s="1"/>
  <c r="G9" i="52"/>
  <c r="H10" i="51" s="1"/>
  <c r="H10" i="54" s="1"/>
  <c r="G11" i="36"/>
  <c r="F9" i="52"/>
  <c r="G10" i="51" s="1"/>
  <c r="G10" i="54" s="1"/>
  <c r="E9" i="52"/>
  <c r="F10" i="51" s="1"/>
  <c r="F10" i="54" s="1"/>
  <c r="H9" i="52"/>
  <c r="I10" i="51" s="1"/>
  <c r="I10" i="54" s="1"/>
  <c r="D9" i="52"/>
  <c r="D10" i="51" s="1"/>
  <c r="D10" i="54" s="1"/>
  <c r="C9" i="52"/>
  <c r="C10" i="51" s="1"/>
  <c r="G25" i="52"/>
  <c r="H26" i="51" s="1"/>
  <c r="H26" i="54" s="1"/>
  <c r="G27" i="36"/>
  <c r="H25" i="52"/>
  <c r="I26" i="51" s="1"/>
  <c r="I26" i="54" s="1"/>
  <c r="D25" i="52"/>
  <c r="D26" i="51" s="1"/>
  <c r="D26" i="54" s="1"/>
  <c r="F25" i="52"/>
  <c r="G26" i="51" s="1"/>
  <c r="G26" i="54" s="1"/>
  <c r="E25" i="52"/>
  <c r="F26" i="51" s="1"/>
  <c r="F26" i="54" s="1"/>
  <c r="C25" i="52"/>
  <c r="C26" i="51" s="1"/>
  <c r="G12" i="52"/>
  <c r="H13" i="51" s="1"/>
  <c r="H13" i="54" s="1"/>
  <c r="G14" i="36"/>
  <c r="E12" i="52"/>
  <c r="F13" i="51" s="1"/>
  <c r="F13" i="54" s="1"/>
  <c r="D12" i="52"/>
  <c r="D13" i="51" s="1"/>
  <c r="D13" i="54" s="1"/>
  <c r="H12" i="52"/>
  <c r="I13" i="51" s="1"/>
  <c r="I13" i="54" s="1"/>
  <c r="F12" i="52"/>
  <c r="G13" i="51" s="1"/>
  <c r="G13" i="54" s="1"/>
  <c r="C12" i="52"/>
  <c r="C13" i="51" s="1"/>
  <c r="G22" i="52"/>
  <c r="H23" i="51" s="1"/>
  <c r="H23" i="54" s="1"/>
  <c r="G24" i="36"/>
  <c r="D22" i="52"/>
  <c r="D23" i="51" s="1"/>
  <c r="D23" i="54" s="1"/>
  <c r="E22" i="52"/>
  <c r="F23" i="51" s="1"/>
  <c r="F23" i="54" s="1"/>
  <c r="H22" i="52"/>
  <c r="I23" i="51" s="1"/>
  <c r="I23" i="54" s="1"/>
  <c r="F22" i="52"/>
  <c r="G23" i="51" s="1"/>
  <c r="G23" i="54" s="1"/>
  <c r="C22" i="52"/>
  <c r="C23" i="51" s="1"/>
  <c r="G7" i="52"/>
  <c r="H8" i="51" s="1"/>
  <c r="H8" i="54" s="1"/>
  <c r="G9" i="36"/>
  <c r="E7" i="52"/>
  <c r="F8" i="51" s="1"/>
  <c r="F8" i="54" s="1"/>
  <c r="F7" i="52"/>
  <c r="G8" i="51" s="1"/>
  <c r="G8" i="54" s="1"/>
  <c r="H7" i="52"/>
  <c r="I8" i="51" s="1"/>
  <c r="I8" i="54" s="1"/>
  <c r="D7" i="52"/>
  <c r="D8" i="51" s="1"/>
  <c r="D8" i="54" s="1"/>
  <c r="C7" i="52"/>
  <c r="C8" i="51" s="1"/>
  <c r="G41" i="52"/>
  <c r="H42" i="51" s="1"/>
  <c r="H42" i="54" s="1"/>
  <c r="G43" i="36"/>
  <c r="E41" i="52"/>
  <c r="F42" i="51" s="1"/>
  <c r="F42" i="54" s="1"/>
  <c r="F41" i="52"/>
  <c r="G42" i="51" s="1"/>
  <c r="G42" i="54" s="1"/>
  <c r="H41" i="52"/>
  <c r="I42" i="51" s="1"/>
  <c r="I42" i="54" s="1"/>
  <c r="D41" i="52"/>
  <c r="D42" i="51" s="1"/>
  <c r="D42" i="54" s="1"/>
  <c r="C41" i="52"/>
  <c r="C42" i="51" s="1"/>
  <c r="G55" i="52"/>
  <c r="H56" i="51" s="1"/>
  <c r="H56" i="54" s="1"/>
  <c r="G57" i="36"/>
  <c r="H55" i="52"/>
  <c r="I56" i="51" s="1"/>
  <c r="I56" i="54" s="1"/>
  <c r="D55" i="52"/>
  <c r="D56" i="51" s="1"/>
  <c r="D56" i="54" s="1"/>
  <c r="F55" i="52"/>
  <c r="G56" i="51" s="1"/>
  <c r="G56" i="54" s="1"/>
  <c r="E55" i="52"/>
  <c r="F56" i="51" s="1"/>
  <c r="F56" i="54" s="1"/>
  <c r="C55" i="52"/>
  <c r="C56" i="51" s="1"/>
  <c r="G19" i="52"/>
  <c r="H20" i="51" s="1"/>
  <c r="H20" i="54" s="1"/>
  <c r="G21" i="36"/>
  <c r="D19" i="52"/>
  <c r="D20" i="51" s="1"/>
  <c r="D20" i="54" s="1"/>
  <c r="H19" i="52"/>
  <c r="I20" i="51" s="1"/>
  <c r="I20" i="54" s="1"/>
  <c r="F19" i="52"/>
  <c r="G20" i="51" s="1"/>
  <c r="G20" i="54" s="1"/>
  <c r="E19" i="52"/>
  <c r="F20" i="51" s="1"/>
  <c r="F20" i="54" s="1"/>
  <c r="C19" i="52"/>
  <c r="C20" i="51" s="1"/>
  <c r="G27" i="52"/>
  <c r="H28" i="51" s="1"/>
  <c r="H28" i="54" s="1"/>
  <c r="G29" i="36"/>
  <c r="D27" i="52"/>
  <c r="D28" i="51" s="1"/>
  <c r="D28" i="54" s="1"/>
  <c r="E27" i="52"/>
  <c r="F28" i="51" s="1"/>
  <c r="F28" i="54" s="1"/>
  <c r="F27" i="52"/>
  <c r="G28" i="51" s="1"/>
  <c r="G28" i="54" s="1"/>
  <c r="H27" i="52"/>
  <c r="I28" i="51" s="1"/>
  <c r="I28" i="54" s="1"/>
  <c r="C27" i="52"/>
  <c r="C28" i="51" s="1"/>
  <c r="G40" i="52"/>
  <c r="H41" i="51" s="1"/>
  <c r="H41" i="54" s="1"/>
  <c r="G42" i="36"/>
  <c r="E40" i="52"/>
  <c r="F41" i="51" s="1"/>
  <c r="F41" i="54" s="1"/>
  <c r="F40" i="52"/>
  <c r="G41" i="51" s="1"/>
  <c r="G41" i="54" s="1"/>
  <c r="H40" i="52"/>
  <c r="I41" i="51" s="1"/>
  <c r="I41" i="54" s="1"/>
  <c r="D40" i="52"/>
  <c r="D41" i="51" s="1"/>
  <c r="D41" i="54" s="1"/>
  <c r="C40" i="52"/>
  <c r="C41" i="51" s="1"/>
  <c r="G24" i="52"/>
  <c r="H25" i="51" s="1"/>
  <c r="H25" i="54" s="1"/>
  <c r="G26" i="36"/>
  <c r="D24" i="52"/>
  <c r="D25" i="51" s="1"/>
  <c r="D25" i="54" s="1"/>
  <c r="H24" i="52"/>
  <c r="I25" i="51" s="1"/>
  <c r="I25" i="54" s="1"/>
  <c r="E24" i="52"/>
  <c r="F25" i="51" s="1"/>
  <c r="F25" i="54" s="1"/>
  <c r="F24" i="52"/>
  <c r="G25" i="51" s="1"/>
  <c r="G25" i="54" s="1"/>
  <c r="C24" i="52"/>
  <c r="C25" i="51" s="1"/>
  <c r="G37" i="52"/>
  <c r="H38" i="51" s="1"/>
  <c r="H38" i="54" s="1"/>
  <c r="G39" i="36"/>
  <c r="F37" i="52"/>
  <c r="G38" i="51" s="1"/>
  <c r="G38" i="54" s="1"/>
  <c r="D37" i="52"/>
  <c r="D38" i="51" s="1"/>
  <c r="D38" i="54" s="1"/>
  <c r="H37" i="52"/>
  <c r="I38" i="51" s="1"/>
  <c r="I38" i="54" s="1"/>
  <c r="E37" i="52"/>
  <c r="F38" i="51" s="1"/>
  <c r="F38" i="54" s="1"/>
  <c r="C37" i="52"/>
  <c r="C38" i="51" s="1"/>
  <c r="G7" i="36"/>
  <c r="H5" i="52"/>
  <c r="I6" i="51" s="1"/>
  <c r="I6" i="54" s="1"/>
  <c r="E5" i="52"/>
  <c r="F6" i="51" s="1"/>
  <c r="F6" i="54" s="1"/>
  <c r="F5" i="52"/>
  <c r="G6" i="51" s="1"/>
  <c r="G6" i="54" s="1"/>
  <c r="D5" i="52"/>
  <c r="D6" i="51" s="1"/>
  <c r="D6" i="54" s="1"/>
  <c r="C5" i="52"/>
  <c r="C6" i="51" s="1"/>
  <c r="G5" i="52"/>
  <c r="H6" i="51" s="1"/>
  <c r="H6" i="54" s="1"/>
  <c r="AD57" i="1"/>
  <c r="C33" i="54" l="1"/>
  <c r="C39" i="54"/>
  <c r="C41" i="54"/>
  <c r="C26" i="54"/>
  <c r="C51" i="54"/>
  <c r="C9" i="54"/>
  <c r="C47" i="54"/>
  <c r="C54" i="54"/>
  <c r="C13" i="54"/>
  <c r="C24" i="54"/>
  <c r="C12" i="54"/>
  <c r="C21" i="54"/>
  <c r="C22" i="54"/>
  <c r="C48" i="54"/>
  <c r="C23" i="54"/>
  <c r="C34" i="54"/>
  <c r="C30" i="54"/>
  <c r="C14" i="54"/>
  <c r="C19" i="54"/>
  <c r="C50" i="54"/>
  <c r="C56" i="54"/>
  <c r="C29" i="54"/>
  <c r="C8" i="54"/>
  <c r="C44" i="54"/>
  <c r="C49" i="54"/>
  <c r="C11" i="54"/>
  <c r="C16" i="54"/>
  <c r="C46" i="54"/>
  <c r="C25" i="54"/>
  <c r="C38" i="54"/>
  <c r="C42" i="54"/>
  <c r="C40" i="54"/>
  <c r="C32" i="54"/>
  <c r="C27" i="54"/>
  <c r="C15" i="54"/>
  <c r="C43" i="54"/>
  <c r="C20" i="54"/>
  <c r="C31" i="54"/>
  <c r="C36" i="54"/>
  <c r="C35" i="54"/>
  <c r="C18" i="54"/>
  <c r="C45" i="54"/>
  <c r="C52" i="54"/>
  <c r="C7" i="54"/>
  <c r="C28" i="54"/>
  <c r="C10" i="54"/>
  <c r="C17" i="54"/>
  <c r="C37" i="54"/>
  <c r="C53" i="54"/>
  <c r="C55" i="54"/>
  <c r="I57" i="54"/>
  <c r="H57" i="54"/>
  <c r="D57" i="54"/>
  <c r="C6" i="54"/>
  <c r="C57" i="51"/>
  <c r="G57" i="54"/>
  <c r="F57" i="54"/>
  <c r="I57" i="51"/>
  <c r="F57" i="51"/>
  <c r="G57" i="51"/>
  <c r="H57" i="51"/>
  <c r="D57" i="51"/>
  <c r="G56" i="52"/>
  <c r="C56" i="52"/>
  <c r="E56" i="52"/>
  <c r="H56" i="52"/>
  <c r="D56" i="52"/>
  <c r="F56" i="52"/>
  <c r="G58" i="36"/>
  <c r="C57" i="54" l="1"/>
  <c r="L57" i="54" s="1"/>
  <c r="E28" i="43"/>
  <c r="E29" i="43" s="1"/>
  <c r="G26" i="43"/>
  <c r="K5" i="36" s="1"/>
  <c r="G28" i="43" l="1"/>
  <c r="G29" i="43" s="1"/>
  <c r="I5" i="36"/>
  <c r="J5" i="36"/>
  <c r="H5" i="36"/>
  <c r="H32" i="36" l="1"/>
  <c r="H12" i="36"/>
  <c r="H25" i="36"/>
  <c r="H28" i="36"/>
  <c r="H50" i="36"/>
  <c r="H15" i="36"/>
  <c r="H10" i="36"/>
  <c r="H38" i="36"/>
  <c r="H11" i="36"/>
  <c r="H18" i="36"/>
  <c r="H34" i="36"/>
  <c r="H20" i="36"/>
  <c r="H44" i="36"/>
  <c r="H51" i="36"/>
  <c r="H47" i="36"/>
  <c r="H36" i="36"/>
  <c r="K36" i="36" s="1"/>
  <c r="J35" i="51" s="1"/>
  <c r="H26" i="36"/>
  <c r="H23" i="36"/>
  <c r="H24" i="36"/>
  <c r="H54" i="36"/>
  <c r="H13" i="36"/>
  <c r="H16" i="36"/>
  <c r="H14" i="36"/>
  <c r="H8" i="36"/>
  <c r="H37" i="36"/>
  <c r="H40" i="36"/>
  <c r="H57" i="36"/>
  <c r="H42" i="36"/>
  <c r="H27" i="36"/>
  <c r="H45" i="36"/>
  <c r="H30" i="36"/>
  <c r="H41" i="36"/>
  <c r="K41" i="36" s="1"/>
  <c r="J40" i="51" s="1"/>
  <c r="H39" i="36"/>
  <c r="H46" i="36"/>
  <c r="H48" i="36"/>
  <c r="H56" i="36"/>
  <c r="H43" i="36"/>
  <c r="H53" i="36"/>
  <c r="H55" i="36"/>
  <c r="H19" i="36"/>
  <c r="H29" i="36"/>
  <c r="H17" i="36"/>
  <c r="H21" i="36"/>
  <c r="H52" i="36"/>
  <c r="H9" i="36"/>
  <c r="H49" i="36"/>
  <c r="H7" i="36"/>
  <c r="H31" i="36"/>
  <c r="K31" i="36" s="1"/>
  <c r="J30" i="51" s="1"/>
  <c r="H22" i="36"/>
  <c r="H33" i="36"/>
  <c r="H35" i="36"/>
  <c r="J16" i="36"/>
  <c r="J41" i="36"/>
  <c r="J48" i="36"/>
  <c r="J22" i="36"/>
  <c r="J40" i="36"/>
  <c r="J36" i="36"/>
  <c r="J49" i="36"/>
  <c r="J23" i="36"/>
  <c r="J12" i="36"/>
  <c r="J19" i="36"/>
  <c r="J45" i="36"/>
  <c r="J42" i="36"/>
  <c r="J9" i="36"/>
  <c r="J33" i="36"/>
  <c r="J43" i="36"/>
  <c r="J29" i="36"/>
  <c r="J46" i="36"/>
  <c r="J53" i="36"/>
  <c r="J31" i="36"/>
  <c r="J38" i="36"/>
  <c r="J25" i="36"/>
  <c r="J20" i="36"/>
  <c r="J50" i="36"/>
  <c r="J15" i="36"/>
  <c r="J44" i="36"/>
  <c r="J8" i="36"/>
  <c r="J18" i="36"/>
  <c r="J14" i="36"/>
  <c r="J11" i="36"/>
  <c r="J10" i="36"/>
  <c r="J7" i="36"/>
  <c r="J13" i="36"/>
  <c r="J34" i="36"/>
  <c r="J52" i="36"/>
  <c r="J56" i="36"/>
  <c r="J17" i="36"/>
  <c r="J57" i="36"/>
  <c r="J54" i="36"/>
  <c r="J47" i="36"/>
  <c r="J26" i="36"/>
  <c r="J51" i="36"/>
  <c r="J24" i="36"/>
  <c r="J55" i="36"/>
  <c r="J21" i="36"/>
  <c r="J32" i="36"/>
  <c r="J35" i="36"/>
  <c r="J39" i="36"/>
  <c r="J28" i="36"/>
  <c r="J27" i="36"/>
  <c r="J37" i="36"/>
  <c r="J30" i="36"/>
  <c r="I17" i="36"/>
  <c r="I28" i="36"/>
  <c r="I33" i="36"/>
  <c r="I57" i="36"/>
  <c r="I24" i="36"/>
  <c r="I49" i="36"/>
  <c r="I47" i="36"/>
  <c r="I38" i="36"/>
  <c r="I25" i="36"/>
  <c r="I11" i="36"/>
  <c r="I15" i="36"/>
  <c r="I43" i="36"/>
  <c r="I30" i="36"/>
  <c r="I40" i="36"/>
  <c r="I50" i="36"/>
  <c r="I55" i="36"/>
  <c r="I21" i="36"/>
  <c r="I23" i="36"/>
  <c r="I8" i="36"/>
  <c r="I9" i="36"/>
  <c r="I22" i="36"/>
  <c r="I56" i="36"/>
  <c r="I37" i="36"/>
  <c r="I45" i="36"/>
  <c r="I13" i="36"/>
  <c r="I12" i="36"/>
  <c r="I7" i="36"/>
  <c r="I41" i="36"/>
  <c r="I19" i="36"/>
  <c r="I31" i="36"/>
  <c r="I16" i="36"/>
  <c r="I26" i="36"/>
  <c r="I32" i="36"/>
  <c r="I42" i="36"/>
  <c r="I39" i="36"/>
  <c r="I29" i="36"/>
  <c r="I35" i="36"/>
  <c r="I27" i="36"/>
  <c r="I54" i="36"/>
  <c r="I46" i="36"/>
  <c r="I44" i="36"/>
  <c r="I53" i="36"/>
  <c r="I48" i="36"/>
  <c r="I10" i="36"/>
  <c r="I18" i="36"/>
  <c r="I52" i="36"/>
  <c r="I51" i="36"/>
  <c r="I20" i="36"/>
  <c r="I36" i="36"/>
  <c r="I14" i="36"/>
  <c r="I34" i="36"/>
  <c r="J40" i="54" l="1"/>
  <c r="L40" i="54" s="1"/>
  <c r="L40" i="51"/>
  <c r="K30" i="36"/>
  <c r="J29" i="51" s="1"/>
  <c r="K47" i="36"/>
  <c r="J46" i="51" s="1"/>
  <c r="J35" i="54"/>
  <c r="L35" i="54" s="1"/>
  <c r="L35" i="51"/>
  <c r="K49" i="36"/>
  <c r="J48" i="51" s="1"/>
  <c r="K51" i="36"/>
  <c r="J50" i="51" s="1"/>
  <c r="K43" i="36"/>
  <c r="J42" i="51" s="1"/>
  <c r="K52" i="36"/>
  <c r="J51" i="51" s="1"/>
  <c r="K20" i="36"/>
  <c r="J19" i="51" s="1"/>
  <c r="J30" i="54"/>
  <c r="L30" i="54" s="1"/>
  <c r="L30" i="51"/>
  <c r="K57" i="36"/>
  <c r="J56" i="51" s="1"/>
  <c r="K34" i="36"/>
  <c r="J33" i="51" s="1"/>
  <c r="K17" i="36"/>
  <c r="J16" i="51" s="1"/>
  <c r="K40" i="36"/>
  <c r="J39" i="51" s="1"/>
  <c r="K10" i="36"/>
  <c r="J9" i="51" s="1"/>
  <c r="K16" i="36"/>
  <c r="K27" i="36"/>
  <c r="J26" i="51" s="1"/>
  <c r="K45" i="36"/>
  <c r="J44" i="51" s="1"/>
  <c r="K21" i="36"/>
  <c r="J20" i="51" s="1"/>
  <c r="H58" i="36"/>
  <c r="K7" i="36"/>
  <c r="J6" i="51" s="1"/>
  <c r="K9" i="36"/>
  <c r="J8" i="51" s="1"/>
  <c r="K42" i="36"/>
  <c r="J41" i="51" s="1"/>
  <c r="K38" i="36"/>
  <c r="J37" i="51" s="1"/>
  <c r="K15" i="36"/>
  <c r="J14" i="51" s="1"/>
  <c r="K44" i="36"/>
  <c r="J43" i="51" s="1"/>
  <c r="K37" i="36"/>
  <c r="J36" i="51" s="1"/>
  <c r="K50" i="36"/>
  <c r="J49" i="51" s="1"/>
  <c r="K19" i="36"/>
  <c r="J18" i="51" s="1"/>
  <c r="K54" i="36"/>
  <c r="J53" i="51" s="1"/>
  <c r="K28" i="36"/>
  <c r="J27" i="51" s="1"/>
  <c r="K29" i="36"/>
  <c r="J28" i="51" s="1"/>
  <c r="K55" i="36"/>
  <c r="J54" i="51" s="1"/>
  <c r="K13" i="36"/>
  <c r="J12" i="51" s="1"/>
  <c r="K35" i="36"/>
  <c r="J34" i="51" s="1"/>
  <c r="K48" i="36"/>
  <c r="J47" i="51" s="1"/>
  <c r="K24" i="36"/>
  <c r="J23" i="51" s="1"/>
  <c r="K25" i="36"/>
  <c r="J24" i="51" s="1"/>
  <c r="K11" i="36"/>
  <c r="J10" i="51" s="1"/>
  <c r="K14" i="36"/>
  <c r="J13" i="51" s="1"/>
  <c r="J58" i="36"/>
  <c r="K33" i="36"/>
  <c r="J32" i="51" s="1"/>
  <c r="K46" i="36"/>
  <c r="J45" i="51" s="1"/>
  <c r="K23" i="36"/>
  <c r="J22" i="51" s="1"/>
  <c r="K12" i="36"/>
  <c r="J11" i="51" s="1"/>
  <c r="K18" i="36"/>
  <c r="J17" i="51" s="1"/>
  <c r="K8" i="36"/>
  <c r="J7" i="51" s="1"/>
  <c r="K53" i="36"/>
  <c r="J52" i="51" s="1"/>
  <c r="K56" i="36"/>
  <c r="J55" i="51" s="1"/>
  <c r="I58" i="36"/>
  <c r="K22" i="36"/>
  <c r="J21" i="51" s="1"/>
  <c r="K39" i="36"/>
  <c r="J38" i="51" s="1"/>
  <c r="K26" i="36"/>
  <c r="J25" i="51" s="1"/>
  <c r="K32" i="36"/>
  <c r="J31" i="51" s="1"/>
  <c r="J31" i="54" l="1"/>
  <c r="L31" i="54" s="1"/>
  <c r="L31" i="51"/>
  <c r="J18" i="54"/>
  <c r="L18" i="54" s="1"/>
  <c r="L18" i="51"/>
  <c r="J22" i="54"/>
  <c r="L22" i="54" s="1"/>
  <c r="L22" i="51"/>
  <c r="J47" i="54"/>
  <c r="L47" i="54" s="1"/>
  <c r="L47" i="51"/>
  <c r="J49" i="54"/>
  <c r="L49" i="54" s="1"/>
  <c r="L49" i="51"/>
  <c r="J33" i="54"/>
  <c r="L33" i="54" s="1"/>
  <c r="L33" i="51"/>
  <c r="J48" i="54"/>
  <c r="L48" i="54" s="1"/>
  <c r="L48" i="51"/>
  <c r="J11" i="54"/>
  <c r="L11" i="54" s="1"/>
  <c r="L11" i="51"/>
  <c r="J50" i="54"/>
  <c r="L50" i="54" s="1"/>
  <c r="L50" i="51"/>
  <c r="J21" i="54"/>
  <c r="L21" i="54" s="1"/>
  <c r="L21" i="51"/>
  <c r="J45" i="54"/>
  <c r="L45" i="54" s="1"/>
  <c r="L45" i="51"/>
  <c r="J34" i="54"/>
  <c r="L34" i="54" s="1"/>
  <c r="L34" i="51"/>
  <c r="J36" i="54"/>
  <c r="L36" i="54" s="1"/>
  <c r="L36" i="51"/>
  <c r="J20" i="54"/>
  <c r="L20" i="54" s="1"/>
  <c r="L20" i="51"/>
  <c r="J56" i="54"/>
  <c r="L56" i="54" s="1"/>
  <c r="L56" i="51"/>
  <c r="J23" i="54"/>
  <c r="L23" i="54" s="1"/>
  <c r="L23" i="51"/>
  <c r="J38" i="54"/>
  <c r="L38" i="54" s="1"/>
  <c r="L38" i="51"/>
  <c r="J12" i="54"/>
  <c r="L12" i="54" s="1"/>
  <c r="L12" i="51"/>
  <c r="J54" i="54"/>
  <c r="L54" i="54" s="1"/>
  <c r="L54" i="51"/>
  <c r="J14" i="54"/>
  <c r="L14" i="54" s="1"/>
  <c r="L14" i="51"/>
  <c r="J26" i="54"/>
  <c r="L26" i="54" s="1"/>
  <c r="L26" i="51"/>
  <c r="J46" i="54"/>
  <c r="L46" i="54" s="1"/>
  <c r="L46" i="51"/>
  <c r="J17" i="54"/>
  <c r="L17" i="54" s="1"/>
  <c r="L17" i="51"/>
  <c r="J6" i="54"/>
  <c r="L6" i="54" s="1"/>
  <c r="L6" i="51"/>
  <c r="J43" i="54"/>
  <c r="L43" i="54" s="1"/>
  <c r="L43" i="51"/>
  <c r="J55" i="54"/>
  <c r="L55" i="54" s="1"/>
  <c r="L55" i="51"/>
  <c r="J13" i="54"/>
  <c r="L13" i="54" s="1"/>
  <c r="L13" i="51"/>
  <c r="J28" i="54"/>
  <c r="L28" i="54" s="1"/>
  <c r="L28" i="51"/>
  <c r="J37" i="54"/>
  <c r="L37" i="54" s="1"/>
  <c r="L37" i="51"/>
  <c r="J19" i="54"/>
  <c r="L19" i="54" s="1"/>
  <c r="L19" i="51"/>
  <c r="J29" i="54"/>
  <c r="L29" i="54" s="1"/>
  <c r="L29" i="51"/>
  <c r="J25" i="54"/>
  <c r="L25" i="54" s="1"/>
  <c r="L25" i="51"/>
  <c r="J16" i="54"/>
  <c r="L16" i="54" s="1"/>
  <c r="L16" i="51"/>
  <c r="J32" i="54"/>
  <c r="L32" i="54" s="1"/>
  <c r="L32" i="51"/>
  <c r="J44" i="54"/>
  <c r="L44" i="54" s="1"/>
  <c r="L44" i="51"/>
  <c r="J52" i="54"/>
  <c r="L52" i="54" s="1"/>
  <c r="L52" i="51"/>
  <c r="J7" i="54"/>
  <c r="L7" i="54" s="1"/>
  <c r="L7" i="51"/>
  <c r="J10" i="54"/>
  <c r="L10" i="54" s="1"/>
  <c r="L10" i="51"/>
  <c r="J27" i="54"/>
  <c r="L27" i="54" s="1"/>
  <c r="L27" i="51"/>
  <c r="J41" i="54"/>
  <c r="L41" i="54" s="1"/>
  <c r="L41" i="51"/>
  <c r="J9" i="54"/>
  <c r="L9" i="54" s="1"/>
  <c r="L9" i="51"/>
  <c r="J51" i="54"/>
  <c r="L51" i="54" s="1"/>
  <c r="L51" i="51"/>
  <c r="J24" i="54"/>
  <c r="L24" i="54" s="1"/>
  <c r="L24" i="51"/>
  <c r="J53" i="54"/>
  <c r="L53" i="54" s="1"/>
  <c r="L53" i="51"/>
  <c r="J8" i="54"/>
  <c r="L8" i="54" s="1"/>
  <c r="L8" i="51"/>
  <c r="J39" i="54"/>
  <c r="L39" i="54" s="1"/>
  <c r="L39" i="51"/>
  <c r="J42" i="54"/>
  <c r="L42" i="54" s="1"/>
  <c r="L42" i="51"/>
  <c r="J15" i="51"/>
  <c r="K58" i="36"/>
  <c r="L23" i="36" s="1"/>
  <c r="J15" i="54" l="1"/>
  <c r="L15" i="54" s="1"/>
  <c r="L15" i="51"/>
  <c r="L57" i="51" s="1"/>
  <c r="L44" i="36"/>
  <c r="L39" i="36"/>
  <c r="L18" i="36"/>
  <c r="L14" i="36"/>
  <c r="L8" i="36"/>
  <c r="L38" i="36"/>
  <c r="L32" i="36"/>
  <c r="L21" i="36"/>
  <c r="L22" i="36"/>
  <c r="L46" i="36"/>
  <c r="L33" i="36"/>
  <c r="L37" i="36"/>
  <c r="L24" i="36"/>
  <c r="L54" i="36"/>
  <c r="L9" i="36"/>
  <c r="L55" i="36"/>
  <c r="L26" i="36"/>
  <c r="L29" i="36"/>
  <c r="L13" i="36"/>
  <c r="L35" i="36"/>
  <c r="L56" i="36"/>
  <c r="L12" i="36"/>
  <c r="L19" i="36"/>
  <c r="L53" i="36"/>
  <c r="L42" i="36"/>
  <c r="L28" i="36"/>
  <c r="J57" i="51"/>
  <c r="L25" i="36"/>
  <c r="L7" i="36"/>
  <c r="L50" i="36"/>
  <c r="L48" i="36"/>
  <c r="L15" i="36"/>
  <c r="L30" i="36"/>
  <c r="L41" i="36"/>
  <c r="L36" i="36"/>
  <c r="L49" i="36"/>
  <c r="L43" i="36"/>
  <c r="L17" i="36"/>
  <c r="L45" i="36"/>
  <c r="L34" i="36"/>
  <c r="L47" i="36"/>
  <c r="L31" i="36"/>
  <c r="L10" i="36"/>
  <c r="L27" i="36"/>
  <c r="L57" i="36"/>
  <c r="L40" i="36"/>
  <c r="L51" i="36"/>
  <c r="L20" i="36"/>
  <c r="L16" i="36"/>
  <c r="L52" i="36"/>
  <c r="L11" i="36"/>
  <c r="L58" i="36" l="1"/>
</calcChain>
</file>

<file path=xl/comments1.xml><?xml version="1.0" encoding="utf-8"?>
<comments xmlns="http://schemas.openxmlformats.org/spreadsheetml/2006/main">
  <authors>
    <author>Cesar Gabriel Rivera Cantu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>Variable actualizada el 15 de febrero de 2024
Información definitiva</t>
        </r>
      </text>
    </comment>
    <comment ref="D3" authorId="0" shapeId="0">
      <text>
        <r>
          <rPr>
            <sz val="9"/>
            <color indexed="81"/>
            <rFont val="Tahoma"/>
            <family val="2"/>
          </rPr>
          <t>Variable actualizada el 28 de febrero 2025
Información entregada por cada municipio</t>
        </r>
      </text>
    </comment>
  </commentList>
</comments>
</file>

<file path=xl/comments2.xml><?xml version="1.0" encoding="utf-8"?>
<comments xmlns="http://schemas.openxmlformats.org/spreadsheetml/2006/main">
  <authors>
    <author>Cesar Gabriel Rivera Cantu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Actualización el 1 de julio de 2023
publicación de conapo del 21 de junio de 2024</t>
        </r>
      </text>
    </comment>
  </commentList>
</comments>
</file>

<file path=xl/comments3.xml><?xml version="1.0" encoding="utf-8"?>
<comments xmlns="http://schemas.openxmlformats.org/spreadsheetml/2006/main">
  <authors>
    <author>Cesar Gabriel Rivera Cantu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>Variable actualizada el 28 de febrero de 2025
Información definitiva</t>
        </r>
      </text>
    </comment>
    <comment ref="D2" authorId="0" shapeId="0">
      <text>
        <r>
          <rPr>
            <sz val="9"/>
            <color indexed="81"/>
            <rFont val="Tahoma"/>
            <family val="2"/>
          </rPr>
          <t>Variable actualizada el 30 de abril de 2025
Información entregada por cada municipio</t>
        </r>
      </text>
    </comment>
  </commentList>
</comments>
</file>

<file path=xl/sharedStrings.xml><?xml version="1.0" encoding="utf-8"?>
<sst xmlns="http://schemas.openxmlformats.org/spreadsheetml/2006/main" count="710" uniqueCount="224">
  <si>
    <t>MUNICIPIO</t>
  </si>
  <si>
    <t>ABASOLO</t>
  </si>
  <si>
    <t>AGUALEGUAS</t>
  </si>
  <si>
    <t>ALLENDE</t>
  </si>
  <si>
    <t>APODACA</t>
  </si>
  <si>
    <t>ARAMBERRI</t>
  </si>
  <si>
    <t>BUSTAMANTE</t>
  </si>
  <si>
    <t>CHINA</t>
  </si>
  <si>
    <t>DOCTOR ARROYO</t>
  </si>
  <si>
    <t>DOCTOR COSS</t>
  </si>
  <si>
    <t>GALEANA</t>
  </si>
  <si>
    <t>GENERAL BRAVO</t>
  </si>
  <si>
    <t>GENERAL ESCOBEDO</t>
  </si>
  <si>
    <t>GENERAL TREVIÑO</t>
  </si>
  <si>
    <t>GENERAL ZARAGOZA</t>
  </si>
  <si>
    <t>GENERAL ZUAZUA</t>
  </si>
  <si>
    <t>GUADALUPE</t>
  </si>
  <si>
    <t>HIDALGO</t>
  </si>
  <si>
    <t>HIGUERAS</t>
  </si>
  <si>
    <t>HUALAHUISES</t>
  </si>
  <si>
    <t>ITURBIDE</t>
  </si>
  <si>
    <t>LAMPAZOS DE NARANJO</t>
  </si>
  <si>
    <t>LINARES</t>
  </si>
  <si>
    <t>MELCHOR OCAMPO</t>
  </si>
  <si>
    <t>MIER Y NORIEGA</t>
  </si>
  <si>
    <t>MINA</t>
  </si>
  <si>
    <t>MONTEMORELOS</t>
  </si>
  <si>
    <t>MONTERREY</t>
  </si>
  <si>
    <t>RAYONES</t>
  </si>
  <si>
    <t>SABINAS HIDALGO</t>
  </si>
  <si>
    <t>SALINAS VICTORIA</t>
  </si>
  <si>
    <t>SANTA CATARINA</t>
  </si>
  <si>
    <t>SANTIAGO</t>
  </si>
  <si>
    <t>VALLECILLO</t>
  </si>
  <si>
    <t>VILLALDAMA</t>
  </si>
  <si>
    <t xml:space="preserve">        TOTAL</t>
  </si>
  <si>
    <t>TOTAL</t>
  </si>
  <si>
    <t>P=RP/BG</t>
  </si>
  <si>
    <t>ER=P*RP</t>
  </si>
  <si>
    <t>PC</t>
  </si>
  <si>
    <t>PO</t>
  </si>
  <si>
    <t>TERRITORIO (KM2)</t>
  </si>
  <si>
    <t>TE</t>
  </si>
  <si>
    <t>POBLACIÓN Y TERRITORIO</t>
  </si>
  <si>
    <t>CEPT=0.85(PO/∑PO)+0.15(TE/∑TE)</t>
  </si>
  <si>
    <t>PC*35%</t>
  </si>
  <si>
    <t>CEP= MAE1/∑MAE1</t>
  </si>
  <si>
    <t>CEG=MAE2/∑MAE2</t>
  </si>
  <si>
    <t>CIMP*25%</t>
  </si>
  <si>
    <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</si>
  <si>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PC/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PC</t>
    </r>
  </si>
  <si>
    <r>
      <t>CER= ER/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ER</t>
    </r>
  </si>
  <si>
    <r>
      <t>0.85(PO/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PO</t>
    </r>
    <r>
      <rPr>
        <i/>
        <sz val="8"/>
        <color rgb="FFFF0000"/>
        <rFont val="Arial"/>
        <family val="2"/>
      </rPr>
      <t>)</t>
    </r>
  </si>
  <si>
    <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>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i</t>
    </r>
    <r>
      <rPr>
        <sz val="8"/>
        <color rgb="FFFF0000"/>
        <rFont val="Arial"/>
        <family val="2"/>
      </rPr>
      <t xml:space="preserve"> </t>
    </r>
  </si>
  <si>
    <r>
      <t>0.15(TE/</t>
    </r>
    <r>
      <rPr>
        <sz val="8"/>
        <color rgb="FFFF0000"/>
        <rFont val="Calibri"/>
        <family val="2"/>
      </rPr>
      <t>∑</t>
    </r>
    <r>
      <rPr>
        <sz val="8"/>
        <color rgb="FFFF0000"/>
        <rFont val="Arial"/>
        <family val="2"/>
      </rPr>
      <t>TE</t>
    </r>
    <r>
      <rPr>
        <i/>
        <sz val="8"/>
        <color rgb="FFFF0000"/>
        <rFont val="Arial"/>
        <family val="2"/>
      </rPr>
      <t>)</t>
    </r>
  </si>
  <si>
    <t>ESTRUCTURA      %</t>
  </si>
  <si>
    <t>ESTRUCTURA     %</t>
  </si>
  <si>
    <t>COEFICIENTE  POBLACIÓN Y TERRITORIO</t>
  </si>
  <si>
    <t>COEFICIENTE EFECTIVIDAD REC PREDIAL</t>
  </si>
  <si>
    <t>COEFICIENTE DE PARTICIPACIÓN</t>
  </si>
  <si>
    <t>COEFICIENTE POBLACIÓN</t>
  </si>
  <si>
    <t>COEFICIENTE PROYECCIÓN POBLACIÓN</t>
  </si>
  <si>
    <t>PO*35%</t>
  </si>
  <si>
    <t>CEP*30%</t>
  </si>
  <si>
    <t>DISTRIBUCIÓN POR POBLACIÓN</t>
  </si>
  <si>
    <t>ÍNDICE MUNICIPAL DE POBREZA</t>
  </si>
  <si>
    <t>DISTRIBUCIÓN POR POBLACIÓN Y TERRITORIO</t>
  </si>
  <si>
    <t>DISTRIBUCIÓN POR ÍNDICE DE POBREZA</t>
  </si>
  <si>
    <t>DISTRIBUCIÓN POR EFECTIVIDAD RECAUDACIÓN  PREDIAL</t>
  </si>
  <si>
    <t xml:space="preserve">POBLACIÓN </t>
  </si>
  <si>
    <t>REGLA I</t>
  </si>
  <si>
    <t>PROYECCIÓN DE POBLACIÓN</t>
  </si>
  <si>
    <t>MAE2=(PI*35%)+(PC*35%)+(CD*30%)</t>
  </si>
  <si>
    <t>FGP</t>
  </si>
  <si>
    <t>IEPS</t>
  </si>
  <si>
    <t>EFECTIVIDAD RECAUDACIÓN DE PREDIAL</t>
  </si>
  <si>
    <t>CER*50%</t>
  </si>
  <si>
    <t>CEPT*25%</t>
  </si>
  <si>
    <t>MAE1=(CEPT*25%)+(CIMP*25%)+(CER*50%)</t>
  </si>
  <si>
    <t>Fondo del Estado</t>
  </si>
  <si>
    <t>Porcentaje de distribución</t>
  </si>
  <si>
    <t>Fondo General de Participaciones (FGP)</t>
  </si>
  <si>
    <t>Impuesto Especial sobre Producción y Servicios (IEPS)</t>
  </si>
  <si>
    <t>FOFIR</t>
  </si>
  <si>
    <t>PROPORCION DE RECAUDACIÓN</t>
  </si>
  <si>
    <t>RECAUDACIÓN PONDERADO POR EFICIENCIA</t>
  </si>
  <si>
    <t>COEFICIENTE DE DISTRIBUCIÓN ANTES DE GARANTÍA</t>
  </si>
  <si>
    <t>Impuesto sobre la Venta Final de Gasolinas y Diesel (IEPSGD)</t>
  </si>
  <si>
    <t>Fondo de Fiscalización y Recaudación (FOFIR)</t>
  </si>
  <si>
    <t>Monto a distribuir</t>
  </si>
  <si>
    <t>DETERMINACIÓN PRELIMINAR DE LOS COEFICIENTES DE PARTICIPACIÓN DE RECURSOS A MUNICIPIOS POR VARIABLE (ARTÍCULO14 FRACC II LCH)</t>
  </si>
  <si>
    <t>Fondo de Compensacion ISAN</t>
  </si>
  <si>
    <t xml:space="preserve">Impuesto sobre Adquisición de Vehículos Nuevos (ISAN) </t>
  </si>
  <si>
    <t>ISAN</t>
  </si>
  <si>
    <t>COMP ISAN</t>
  </si>
  <si>
    <t>Fondo de Fomento Municipal (FFM) 30%</t>
  </si>
  <si>
    <t>Fondo de Fomento Municipal (FFM) 70%</t>
  </si>
  <si>
    <t>50%*CERi,t+20%*REi,t+30%*CCRi,t</t>
  </si>
  <si>
    <t>REi,t = Ri,t-1 /∑Ri,t-1</t>
  </si>
  <si>
    <t>CCRi,t=CRi,t /∑CRi,t</t>
  </si>
  <si>
    <t>CRi,t=(Ri,t-1/Ri,t-2)- 1</t>
  </si>
  <si>
    <t>Ri,t-2</t>
  </si>
  <si>
    <t>CERi,t = ERi,t-1 /∑ERi,t-1</t>
  </si>
  <si>
    <t>ERt-1 = Ri,t-1 / BGi,t-1</t>
  </si>
  <si>
    <t>Ri,t-1</t>
  </si>
  <si>
    <t>BGt-1</t>
  </si>
  <si>
    <t>DISTRIBUCIÓN POR RECAUDACION</t>
  </si>
  <si>
    <t>DISTRIBUCIÓN CRECIMIENTO RECAUDACION</t>
  </si>
  <si>
    <t xml:space="preserve">DISTRIBUCIÓN POR EFICIENCIA EN LA RECAUDACIÓN  </t>
  </si>
  <si>
    <t>COHEFICIENTE CRECIMIENTO RECAUDACION</t>
  </si>
  <si>
    <t>Tasa&gt;0</t>
  </si>
  <si>
    <t>COEFICIENTE  DE EFICIENCIA RECAUDATORIA</t>
  </si>
  <si>
    <t>Eficiencia Recaudatoria</t>
  </si>
  <si>
    <t>CRECIMIENTO RECAUDACION</t>
  </si>
  <si>
    <t xml:space="preserve"> EFICIENCIA RECAUDATORIA</t>
  </si>
  <si>
    <t>BGt-2</t>
  </si>
  <si>
    <t>RPt-1</t>
  </si>
  <si>
    <t>CADEREYTA JIMÉNEZ</t>
  </si>
  <si>
    <t>EL CARMEN</t>
  </si>
  <si>
    <t>CERRALVO</t>
  </si>
  <si>
    <t>CIÉNEGA DE FLORES</t>
  </si>
  <si>
    <t>DOCTOR GONZÁLEZ</t>
  </si>
  <si>
    <t>GARCÍA</t>
  </si>
  <si>
    <t>GENERAL TERÁN</t>
  </si>
  <si>
    <t>LOS HERRERAS</t>
  </si>
  <si>
    <t>JUÁREZ</t>
  </si>
  <si>
    <t>MARÍN</t>
  </si>
  <si>
    <t>PARÁS</t>
  </si>
  <si>
    <t>PESQUERÍA</t>
  </si>
  <si>
    <t>LOS RAMONES</t>
  </si>
  <si>
    <t>SAN NICOLÁS DE LOS GARZA</t>
  </si>
  <si>
    <t>SAN PEDRO GARZA GARCÍA</t>
  </si>
  <si>
    <t>LOS ALDAMAS</t>
  </si>
  <si>
    <t>ANÁHUAC</t>
  </si>
  <si>
    <t>FFM 70%</t>
  </si>
  <si>
    <t>POBLACIÓN 2020</t>
  </si>
  <si>
    <t>POBLACIÓN  2020</t>
  </si>
  <si>
    <t xml:space="preserve">  Población 2020, Censo de Población y Vivienda, INEGI</t>
  </si>
  <si>
    <t>Total</t>
  </si>
  <si>
    <t>Las sumas puede no coincidr por el cuestiones de redondeo</t>
  </si>
  <si>
    <t>Nombre del Municipio</t>
  </si>
  <si>
    <t>Fondo General de Participaciones</t>
  </si>
  <si>
    <t>Fondo de Fomento Municipal
70%</t>
  </si>
  <si>
    <t>Fondo de Fomento Municipal
30%</t>
  </si>
  <si>
    <t>Impuesto Especial Sobre Producción y Servicios</t>
  </si>
  <si>
    <t>Fondo de Fiscalización y Recaudación</t>
  </si>
  <si>
    <t>Impuesto Sobre Adquisición de Vehículos Nuevos</t>
  </si>
  <si>
    <t>Fondo Compensación ISAN</t>
  </si>
  <si>
    <t>Intensidad de la Pobreza</t>
  </si>
  <si>
    <t>Proporcion de Intensidad de la Pobreza</t>
  </si>
  <si>
    <t>Mejora en Pobreza Municipal</t>
  </si>
  <si>
    <t>Proporción de la eficacia en Pobreza</t>
  </si>
  <si>
    <t>PP2M</t>
  </si>
  <si>
    <t>PP1M</t>
  </si>
  <si>
    <t>CPP1M</t>
  </si>
  <si>
    <t>ICPM=(PP1M/∑PP1M)</t>
  </si>
  <si>
    <t>IP=(ICPM*CPP!M)</t>
  </si>
  <si>
    <t>IP/∑IP</t>
  </si>
  <si>
    <t>(0.85*CIMP)*(IP)</t>
  </si>
  <si>
    <t>M=PP2M/PP1M</t>
  </si>
  <si>
    <t>EP/∑EP</t>
  </si>
  <si>
    <t>(0.15*CIMP)*(EP/∑EP)</t>
  </si>
  <si>
    <t>DIPM</t>
  </si>
  <si>
    <t>Diferencia</t>
  </si>
  <si>
    <t>FUENTE:
Facturación de Predial.- Instituto Registral y Catastral
Recaudación de Predial.- Municipios del Estado
Población.- Censo de Población y Vivienda 2020
Territorio.- INEGI
Vairables de Social 2015 Y 2020.- CONEVAL</t>
  </si>
  <si>
    <t>SUBTOTAL</t>
  </si>
  <si>
    <t>Impuesto sobre la Renta de Enajenación de Bienes Inmuebles (ISR BI)</t>
  </si>
  <si>
    <t>PERSONAS EN POBREZA 2015</t>
  </si>
  <si>
    <t>PERSONAS EN POBREZA 2020</t>
  </si>
  <si>
    <t>SUBSECRETARÍA DE POLITICA DE INGRESOS, COORDINACIÓN DE PLANEACIÓN HACENDARIA</t>
  </si>
  <si>
    <t>Incidencia de la Pobreza 2020</t>
  </si>
  <si>
    <t>Carencias promedio en situación de pobreza 2020</t>
  </si>
  <si>
    <t>Distribución Anual 2021</t>
  </si>
  <si>
    <t>COEFICIENTE BASE 2021</t>
  </si>
  <si>
    <t>PARTICIPACIONES AÑO ANTERIOR
FGP, FFM 70%, FOFIR, IEPS, ISAN</t>
  </si>
  <si>
    <t>PARTICIPACIONES A MUNICIPIOS 2021</t>
  </si>
  <si>
    <t>RECAUDACIÓN 2023</t>
  </si>
  <si>
    <t>COEFICIENTE DE PARTICIPACIÓN ART 14 F I</t>
  </si>
  <si>
    <t>MONTO DE DISTRIBUCIÓN</t>
  </si>
  <si>
    <t>RECAUDACIÓN</t>
  </si>
  <si>
    <t>PROYECCIÓN DE POBLACIÓN 2024</t>
  </si>
  <si>
    <t>Monto Distribuido mensual 2021</t>
  </si>
  <si>
    <t>Cálculo de Distribución</t>
  </si>
  <si>
    <t>CÁLCULO DE PARTICIPACIONES DEL COPETE A MUNICIPIOS</t>
  </si>
  <si>
    <t xml:space="preserve">MONTO </t>
  </si>
  <si>
    <t>Distribución Mensual</t>
  </si>
  <si>
    <t>FACTURACIÓN  2023
(2019-2023)</t>
  </si>
  <si>
    <t>RECAUDACIÓN 2024</t>
  </si>
  <si>
    <t>FACTURACIÓN 2024
(2020-2024)</t>
  </si>
  <si>
    <t xml:space="preserve">85% por Pobreza </t>
  </si>
  <si>
    <t xml:space="preserve">15% por eficacia de Pobreza </t>
  </si>
  <si>
    <t>Coeficiente Indice Municipal de Pobreza</t>
  </si>
  <si>
    <t>Ene</t>
  </si>
  <si>
    <t>Ajuste</t>
  </si>
  <si>
    <t>Feb</t>
  </si>
  <si>
    <t>Mar</t>
  </si>
  <si>
    <t>Abr</t>
  </si>
  <si>
    <t>May</t>
  </si>
  <si>
    <t>Jun</t>
  </si>
  <si>
    <t>Participaciones 1er Semestre 2025</t>
  </si>
  <si>
    <t>CÁLCULO DE DISTRIBUCIÓN DE PARTICIPACIONES 1er SEMESTRE 2025</t>
  </si>
  <si>
    <t>Los montos no incluyen descuentos ni compensación alguna.</t>
  </si>
  <si>
    <t xml:space="preserve"> </t>
  </si>
  <si>
    <t>Los sumas totales puden no coincidir debido al redondeo</t>
  </si>
  <si>
    <t>DISTRIBUCIÓN DE PARTICIPACIONES FEDERALES</t>
  </si>
  <si>
    <t>VARIABLES ACTUALIZADAS</t>
  </si>
  <si>
    <t>SALDOS DEL CÁLCULO DE DISTRIBUCIÓN DE PARTICIPACIONES 1er SEMESTRE 2025</t>
  </si>
  <si>
    <t>VARIABLES ANTERIORES</t>
  </si>
  <si>
    <t>DISTRIBUCIÓN  PROYECCIÓN DE POBLACIÓN</t>
  </si>
  <si>
    <t>DISTRIBUCIÓN  COEFICIENTE REGLA I</t>
  </si>
  <si>
    <t>COEFICIENTE  MONTO DE RECAUDACIÓN</t>
  </si>
  <si>
    <t>TASA DE CRECIMIENTO</t>
  </si>
  <si>
    <t>ISR Bienes Inmuebles</t>
  </si>
  <si>
    <t>DISTRIBUCIÓN 20%</t>
  </si>
  <si>
    <t>MONTO TOTAL</t>
  </si>
  <si>
    <t xml:space="preserve">         TOTAL </t>
  </si>
  <si>
    <t>DISTRIBUCIÓN</t>
  </si>
  <si>
    <t>COEFICIENTE</t>
  </si>
  <si>
    <t>ISAI 2024</t>
  </si>
  <si>
    <t xml:space="preserve"> MUNICIPIO </t>
  </si>
  <si>
    <t>FONDO DE ISR POR LA ENAJENACIÓN DE BIENES INMUEBLES</t>
  </si>
  <si>
    <t>IEPS Venta Final Gasolinas y Diésel</t>
  </si>
  <si>
    <t>DISTRIBUCIÓN DE PARTICIPACIONES PRIMER SEMESTRE DEL 2025</t>
  </si>
  <si>
    <t xml:space="preserve">  Reconstrucción de proyecciones de la Población 2021-2040, CONSEJO NACIONAL DE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</si>
</sst>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%"/>
    <numFmt numFmtId="167" formatCode="#,##0\ &quot;$&quot;;[Red]\-#,##0\ &quot;$&quot;"/>
    <numFmt numFmtId="168" formatCode="&quot;$&quot;\ #,##0.00"/>
    <numFmt numFmtId="169" formatCode="\U\ #,##0.00"/>
    <numFmt numFmtId="170" formatCode="_(* #,##0.000000_);_(* \(#,##0.000000\);_(* &quot;-&quot;??_);_(@_)"/>
    <numFmt numFmtId="171" formatCode="0.00000000%"/>
    <numFmt numFmtId="172" formatCode="_(* #,##0.00000000_);_(* \(#,##0.00000000\);_(* &quot;-&quot;??_);_(@_)"/>
    <numFmt numFmtId="173" formatCode="0.000000"/>
    <numFmt numFmtId="174" formatCode="0.00000000"/>
    <numFmt numFmtId="175" formatCode="0.0000000000"/>
    <numFmt numFmtId="176" formatCode="0.000000000"/>
    <numFmt numFmtId="177" formatCode="#,##0.0000;\-#,##0.0000"/>
    <numFmt numFmtId="178" formatCode="#,##0.00000000000;\-#,##0.00000000000"/>
    <numFmt numFmtId="179" formatCode="0.0000%"/>
    <numFmt numFmtId="180" formatCode="General_)"/>
    <numFmt numFmtId="181" formatCode="_-[$€-2]* #,##0.00_-;\-[$€-2]* #,##0.00_-;_-[$€-2]* &quot;-&quot;??_-"/>
    <numFmt numFmtId="182" formatCode="_-* #,##0_-;\-* #,##0_-;_-* &quot;-&quot;??_-;_-@_-"/>
    <numFmt numFmtId="183" formatCode="_-* #,##0.0000_-;\-* #,##0.0000_-;_-* &quot;-&quot;????_-;_-@_-"/>
    <numFmt numFmtId="184" formatCode="_-* #,##0.0000_-;\-* #,##0.0000_-;_-* &quot;-&quot;_-;_-@_-"/>
    <numFmt numFmtId="185" formatCode="_-* #,##0.0000_-;\-* #,##0.0000_-;_-* &quot;-&quot;??_-;_-@_-"/>
    <numFmt numFmtId="186" formatCode="#,##0.0000_ ;[Red]\-#,##0.0000\ "/>
    <numFmt numFmtId="187" formatCode="#,##0_ ;[Red]\-#,##0\ "/>
    <numFmt numFmtId="188" formatCode="0.00000000000"/>
    <numFmt numFmtId="189" formatCode="#,##0.00_ ;[Red]\-#,##0.00\ "/>
    <numFmt numFmtId="190" formatCode="_-* #,##0.000000_-;\-* #,##0.000000_-;_-* &quot;-&quot;??_-;_-@_-"/>
    <numFmt numFmtId="191" formatCode="#,##0.0000000;\-#,##0.0000000"/>
    <numFmt numFmtId="192" formatCode="#,##0.00000000;\-#,##0.00000000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sz val="8"/>
      <color rgb="FFFF0000"/>
      <name val="Calibri"/>
      <family val="2"/>
    </font>
    <font>
      <sz val="8"/>
      <name val="Arial"/>
      <family val="2"/>
    </font>
    <font>
      <b/>
      <sz val="8"/>
      <color indexed="6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8"/>
      <name val="Arial"/>
      <family val="2"/>
    </font>
    <font>
      <sz val="11"/>
      <color theme="1"/>
      <name val="Soberana Sans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rgb="FF000000"/>
      <name val="Arial"/>
      <family val="2"/>
    </font>
    <font>
      <sz val="9"/>
      <color indexed="81"/>
      <name val="Tahoma"/>
      <family val="2"/>
    </font>
    <font>
      <b/>
      <u/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b/>
      <sz val="10"/>
      <color rgb="FF0061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167" fontId="15" fillId="0" borderId="0" applyFont="0" applyFill="0" applyBorder="0" applyAlignment="0" applyProtection="0"/>
    <xf numFmtId="0" fontId="28" fillId="3" borderId="0" applyNumberFormat="0" applyBorder="0" applyAlignment="0" applyProtection="0"/>
    <xf numFmtId="164" fontId="15" fillId="0" borderId="0" applyFont="0" applyFill="0" applyBorder="0" applyAlignment="0" applyProtection="0"/>
    <xf numFmtId="0" fontId="29" fillId="22" borderId="0" applyNumberFormat="0" applyBorder="0" applyAlignment="0" applyProtection="0"/>
    <xf numFmtId="0" fontId="37" fillId="0" borderId="0"/>
    <xf numFmtId="0" fontId="17" fillId="0" borderId="0"/>
    <xf numFmtId="37" fontId="16" fillId="0" borderId="0"/>
    <xf numFmtId="0" fontId="20" fillId="23" borderId="4" applyNumberFormat="0" applyFont="0" applyAlignment="0" applyProtection="0"/>
    <xf numFmtId="168" fontId="17" fillId="0" borderId="0" applyFont="0" applyFill="0" applyBorder="0" applyAlignment="0" applyProtection="0">
      <alignment horizontal="right"/>
    </xf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36" fillId="0" borderId="9" applyNumberFormat="0" applyFill="0" applyAlignment="0" applyProtection="0"/>
    <xf numFmtId="169" fontId="18" fillId="0" borderId="0" applyFont="0" applyFill="0" applyBorder="0" applyAlignment="0" applyProtection="0">
      <alignment horizontal="right"/>
    </xf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0" fontId="15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181" fontId="15" fillId="0" borderId="0" applyFont="0" applyFill="0" applyBorder="0" applyAlignment="0" applyProtection="0"/>
    <xf numFmtId="0" fontId="28" fillId="3" borderId="0" applyNumberFormat="0" applyBorder="0" applyAlignment="0" applyProtection="0"/>
    <xf numFmtId="41" fontId="15" fillId="0" borderId="0" applyFont="0" applyFill="0" applyBorder="0" applyAlignment="0" applyProtection="0"/>
    <xf numFmtId="0" fontId="29" fillId="22" borderId="0" applyNumberFormat="0" applyBorder="0" applyAlignment="0" applyProtection="0"/>
    <xf numFmtId="0" fontId="15" fillId="23" borderId="4" applyNumberFormat="0" applyFont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14" fillId="0" borderId="0"/>
    <xf numFmtId="43" fontId="15" fillId="0" borderId="0" applyFont="0" applyFill="0" applyBorder="0" applyAlignment="0" applyProtection="0"/>
    <xf numFmtId="0" fontId="52" fillId="0" borderId="0"/>
    <xf numFmtId="0" fontId="13" fillId="0" borderId="0"/>
    <xf numFmtId="43" fontId="53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0" fontId="15" fillId="0" borderId="0"/>
    <xf numFmtId="0" fontId="55" fillId="0" borderId="0"/>
    <xf numFmtId="43" fontId="5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56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57" fillId="0" borderId="0"/>
    <xf numFmtId="0" fontId="9" fillId="0" borderId="0"/>
    <xf numFmtId="43" fontId="9" fillId="0" borderId="0" applyFont="0" applyFill="0" applyBorder="0" applyAlignment="0" applyProtection="0"/>
    <xf numFmtId="0" fontId="23" fillId="16" borderId="16" applyNumberFormat="0" applyAlignment="0" applyProtection="0"/>
    <xf numFmtId="0" fontId="24" fillId="17" borderId="17" applyNumberFormat="0" applyAlignment="0" applyProtection="0"/>
    <xf numFmtId="0" fontId="27" fillId="7" borderId="16" applyNumberFormat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23" borderId="18" applyNumberFormat="0" applyFont="0" applyAlignment="0" applyProtection="0"/>
    <xf numFmtId="0" fontId="30" fillId="16" borderId="19" applyNumberFormat="0" applyAlignment="0" applyProtection="0"/>
    <xf numFmtId="0" fontId="36" fillId="0" borderId="20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15" fillId="0" borderId="0"/>
    <xf numFmtId="0" fontId="20" fillId="23" borderId="18" applyNumberFormat="0" applyFont="0" applyAlignment="0" applyProtection="0"/>
    <xf numFmtId="168" fontId="15" fillId="0" borderId="0" applyFont="0" applyFill="0" applyBorder="0" applyAlignment="0" applyProtection="0">
      <alignment horizontal="right"/>
    </xf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3" fillId="16" borderId="16" applyNumberFormat="0" applyAlignment="0" applyProtection="0"/>
    <xf numFmtId="0" fontId="24" fillId="17" borderId="17" applyNumberFormat="0" applyAlignment="0" applyProtection="0"/>
    <xf numFmtId="0" fontId="27" fillId="7" borderId="16" applyNumberFormat="0" applyAlignment="0" applyProtection="0"/>
    <xf numFmtId="41" fontId="15" fillId="0" borderId="0" applyFont="0" applyFill="0" applyBorder="0" applyAlignment="0" applyProtection="0"/>
    <xf numFmtId="0" fontId="15" fillId="23" borderId="18" applyNumberFormat="0" applyFont="0" applyAlignment="0" applyProtection="0"/>
    <xf numFmtId="0" fontId="30" fillId="16" borderId="19" applyNumberFormat="0" applyAlignment="0" applyProtection="0"/>
    <xf numFmtId="0" fontId="36" fillId="0" borderId="20" applyNumberFormat="0" applyFill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1" fillId="0" borderId="0"/>
    <xf numFmtId="0" fontId="1" fillId="0" borderId="0"/>
    <xf numFmtId="43" fontId="1" fillId="0" borderId="0" applyFont="0" applyFill="0" applyBorder="0" applyAlignment="0" applyProtection="0"/>
  </cellStyleXfs>
  <cellXfs count="271">
    <xf numFmtId="0" fontId="0" fillId="0" borderId="0" xfId="0"/>
    <xf numFmtId="37" fontId="19" fillId="0" borderId="10" xfId="37" applyFont="1" applyBorder="1" applyAlignment="1" applyProtection="1">
      <alignment horizontal="center" vertical="center" wrapText="1"/>
      <protection hidden="1"/>
    </xf>
    <xf numFmtId="37" fontId="15" fillId="0" borderId="0" xfId="37" applyFont="1" applyProtection="1">
      <protection hidden="1"/>
    </xf>
    <xf numFmtId="37" fontId="39" fillId="0" borderId="0" xfId="37" applyFont="1" applyAlignment="1" applyProtection="1">
      <alignment horizontal="center" vertical="center"/>
      <protection hidden="1"/>
    </xf>
    <xf numFmtId="37" fontId="39" fillId="0" borderId="0" xfId="37" applyFont="1" applyProtection="1">
      <protection hidden="1"/>
    </xf>
    <xf numFmtId="37" fontId="44" fillId="0" borderId="0" xfId="37" applyFont="1" applyAlignment="1" applyProtection="1">
      <alignment horizontal="center" vertical="center" wrapText="1"/>
      <protection hidden="1"/>
    </xf>
    <xf numFmtId="37" fontId="44" fillId="0" borderId="0" xfId="37" applyFont="1" applyProtection="1">
      <protection hidden="1"/>
    </xf>
    <xf numFmtId="173" fontId="44" fillId="0" borderId="0" xfId="37" applyNumberFormat="1" applyFont="1" applyProtection="1">
      <protection hidden="1"/>
    </xf>
    <xf numFmtId="174" fontId="45" fillId="0" borderId="0" xfId="0" applyNumberFormat="1" applyFont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37" fontId="39" fillId="0" borderId="0" xfId="37" applyFont="1" applyAlignment="1" applyProtection="1">
      <alignment horizontal="center" vertical="center" wrapText="1"/>
      <protection hidden="1"/>
    </xf>
    <xf numFmtId="173" fontId="15" fillId="0" borderId="0" xfId="37" applyNumberFormat="1" applyFont="1" applyProtection="1">
      <protection hidden="1"/>
    </xf>
    <xf numFmtId="39" fontId="15" fillId="0" borderId="0" xfId="37" applyNumberFormat="1" applyFont="1" applyProtection="1">
      <protection hidden="1"/>
    </xf>
    <xf numFmtId="174" fontId="15" fillId="0" borderId="0" xfId="37" applyNumberFormat="1" applyFont="1" applyProtection="1">
      <protection hidden="1"/>
    </xf>
    <xf numFmtId="166" fontId="15" fillId="0" borderId="0" xfId="40" applyNumberFormat="1" applyFont="1" applyProtection="1">
      <protection hidden="1"/>
    </xf>
    <xf numFmtId="166" fontId="15" fillId="0" borderId="0" xfId="40" applyNumberFormat="1" applyFont="1" applyFill="1" applyProtection="1">
      <protection hidden="1"/>
    </xf>
    <xf numFmtId="39" fontId="19" fillId="0" borderId="10" xfId="37" applyNumberFormat="1" applyFont="1" applyBorder="1" applyAlignment="1" applyProtection="1">
      <alignment horizontal="center" vertical="center" wrapText="1"/>
      <protection hidden="1"/>
    </xf>
    <xf numFmtId="37" fontId="41" fillId="0" borderId="0" xfId="37" applyFont="1" applyAlignment="1" applyProtection="1">
      <alignment horizontal="center" vertical="center" wrapText="1"/>
      <protection hidden="1"/>
    </xf>
    <xf numFmtId="39" fontId="39" fillId="0" borderId="0" xfId="37" applyNumberFormat="1" applyFont="1" applyAlignment="1" applyProtection="1">
      <alignment horizontal="center" vertical="center" wrapText="1"/>
      <protection hidden="1"/>
    </xf>
    <xf numFmtId="174" fontId="44" fillId="0" borderId="0" xfId="37" applyNumberFormat="1" applyFont="1" applyProtection="1">
      <protection hidden="1"/>
    </xf>
    <xf numFmtId="39" fontId="44" fillId="0" borderId="0" xfId="37" applyNumberFormat="1" applyFont="1" applyAlignment="1" applyProtection="1">
      <alignment horizontal="center" vertical="center" wrapText="1"/>
      <protection hidden="1"/>
    </xf>
    <xf numFmtId="174" fontId="44" fillId="0" borderId="0" xfId="37" applyNumberFormat="1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37" fontId="48" fillId="0" borderId="0" xfId="37" applyFont="1" applyAlignment="1" applyProtection="1">
      <alignment horizontal="center"/>
      <protection hidden="1"/>
    </xf>
    <xf numFmtId="37" fontId="15" fillId="0" borderId="0" xfId="37" applyFont="1" applyAlignment="1" applyProtection="1">
      <alignment wrapText="1"/>
      <protection hidden="1"/>
    </xf>
    <xf numFmtId="37" fontId="51" fillId="0" borderId="0" xfId="37" applyFont="1" applyProtection="1">
      <protection hidden="1"/>
    </xf>
    <xf numFmtId="173" fontId="39" fillId="0" borderId="0" xfId="0" applyNumberFormat="1" applyFont="1" applyAlignment="1" applyProtection="1">
      <alignment horizontal="center" vertical="center" wrapText="1"/>
      <protection hidden="1"/>
    </xf>
    <xf numFmtId="174" fontId="41" fillId="0" borderId="0" xfId="39" applyNumberFormat="1" applyFont="1" applyFill="1" applyBorder="1" applyAlignment="1" applyProtection="1">
      <alignment horizontal="center" vertical="center" wrapText="1"/>
      <protection hidden="1"/>
    </xf>
    <xf numFmtId="174" fontId="39" fillId="0" borderId="0" xfId="39" applyNumberFormat="1" applyFont="1" applyFill="1" applyBorder="1" applyAlignment="1" applyProtection="1">
      <alignment horizontal="center" vertical="center" wrapText="1"/>
      <protection hidden="1"/>
    </xf>
    <xf numFmtId="9" fontId="39" fillId="0" borderId="0" xfId="0" applyNumberFormat="1" applyFont="1" applyAlignment="1" applyProtection="1">
      <alignment horizontal="center" vertical="center" wrapText="1"/>
      <protection hidden="1"/>
    </xf>
    <xf numFmtId="168" fontId="39" fillId="0" borderId="0" xfId="39" applyFont="1" applyFill="1" applyBorder="1" applyAlignment="1" applyProtection="1">
      <alignment horizontal="center" vertical="center" wrapText="1"/>
      <protection hidden="1"/>
    </xf>
    <xf numFmtId="174" fontId="39" fillId="0" borderId="0" xfId="0" applyNumberFormat="1" applyFont="1" applyAlignment="1" applyProtection="1">
      <alignment horizontal="center" vertical="center" wrapText="1"/>
      <protection hidden="1"/>
    </xf>
    <xf numFmtId="174" fontId="46" fillId="0" borderId="10" xfId="0" applyNumberFormat="1" applyFont="1" applyBorder="1" applyAlignment="1" applyProtection="1">
      <alignment horizontal="center" vertical="center" wrapText="1"/>
      <protection hidden="1"/>
    </xf>
    <xf numFmtId="0" fontId="19" fillId="0" borderId="12" xfId="0" applyFont="1" applyBorder="1" applyAlignment="1" applyProtection="1">
      <alignment horizontal="center" vertical="center" wrapText="1"/>
      <protection hidden="1"/>
    </xf>
    <xf numFmtId="174" fontId="19" fillId="0" borderId="12" xfId="0" applyNumberFormat="1" applyFont="1" applyBorder="1" applyAlignment="1" applyProtection="1">
      <alignment horizontal="center" vertical="center" wrapText="1"/>
      <protection hidden="1"/>
    </xf>
    <xf numFmtId="174" fontId="39" fillId="0" borderId="0" xfId="37" applyNumberFormat="1" applyFont="1" applyProtection="1">
      <protection hidden="1"/>
    </xf>
    <xf numFmtId="174" fontId="39" fillId="0" borderId="0" xfId="37" applyNumberFormat="1" applyFont="1" applyAlignment="1" applyProtection="1">
      <alignment horizontal="center" vertical="center" wrapText="1"/>
      <protection hidden="1"/>
    </xf>
    <xf numFmtId="0" fontId="15" fillId="0" borderId="0" xfId="53"/>
    <xf numFmtId="0" fontId="15" fillId="0" borderId="0" xfId="53" applyAlignment="1">
      <alignment vertical="center"/>
    </xf>
    <xf numFmtId="3" fontId="15" fillId="0" borderId="0" xfId="53" applyNumberFormat="1" applyAlignment="1">
      <alignment horizontal="center" vertical="center"/>
    </xf>
    <xf numFmtId="0" fontId="15" fillId="0" borderId="0" xfId="53" applyAlignment="1">
      <alignment horizontal="center" vertical="center"/>
    </xf>
    <xf numFmtId="182" fontId="0" fillId="0" borderId="0" xfId="51" applyNumberFormat="1" applyFont="1"/>
    <xf numFmtId="182" fontId="15" fillId="0" borderId="0" xfId="51" applyNumberFormat="1" applyFont="1"/>
    <xf numFmtId="37" fontId="19" fillId="0" borderId="0" xfId="37" applyFont="1" applyProtection="1">
      <protection hidden="1"/>
    </xf>
    <xf numFmtId="171" fontId="15" fillId="0" borderId="0" xfId="40" applyNumberFormat="1" applyFont="1" applyProtection="1">
      <protection hidden="1"/>
    </xf>
    <xf numFmtId="164" fontId="15" fillId="0" borderId="0" xfId="33" applyFont="1" applyBorder="1" applyProtection="1">
      <protection hidden="1"/>
    </xf>
    <xf numFmtId="179" fontId="15" fillId="0" borderId="0" xfId="40" applyNumberFormat="1" applyFont="1" applyProtection="1">
      <protection hidden="1"/>
    </xf>
    <xf numFmtId="178" fontId="15" fillId="0" borderId="0" xfId="37" applyNumberFormat="1" applyFont="1" applyProtection="1">
      <protection hidden="1"/>
    </xf>
    <xf numFmtId="177" fontId="15" fillId="0" borderId="0" xfId="37" applyNumberFormat="1" applyFont="1" applyProtection="1">
      <protection hidden="1"/>
    </xf>
    <xf numFmtId="0" fontId="15" fillId="24" borderId="0" xfId="106" applyFill="1"/>
    <xf numFmtId="182" fontId="0" fillId="24" borderId="0" xfId="51" applyNumberFormat="1" applyFont="1" applyFill="1"/>
    <xf numFmtId="182" fontId="0" fillId="24" borderId="0" xfId="51" applyNumberFormat="1" applyFont="1" applyFill="1" applyBorder="1"/>
    <xf numFmtId="185" fontId="0" fillId="24" borderId="0" xfId="51" applyNumberFormat="1" applyFont="1" applyFill="1" applyBorder="1"/>
    <xf numFmtId="185" fontId="0" fillId="24" borderId="0" xfId="107" applyNumberFormat="1" applyFont="1" applyFill="1" applyBorder="1"/>
    <xf numFmtId="0" fontId="19" fillId="24" borderId="0" xfId="106" applyFont="1" applyFill="1"/>
    <xf numFmtId="0" fontId="19" fillId="0" borderId="0" xfId="106" applyFont="1"/>
    <xf numFmtId="0" fontId="39" fillId="24" borderId="0" xfId="106" applyFont="1" applyFill="1" applyAlignment="1">
      <alignment horizontal="center" vertical="center" wrapText="1"/>
    </xf>
    <xf numFmtId="43" fontId="15" fillId="0" borderId="0" xfId="53" applyNumberFormat="1"/>
    <xf numFmtId="43" fontId="0" fillId="0" borderId="0" xfId="51" applyFont="1"/>
    <xf numFmtId="165" fontId="15" fillId="0" borderId="0" xfId="33" applyNumberFormat="1"/>
    <xf numFmtId="188" fontId="15" fillId="0" borderId="0" xfId="53" applyNumberFormat="1"/>
    <xf numFmtId="188" fontId="15" fillId="0" borderId="0" xfId="33" applyNumberFormat="1"/>
    <xf numFmtId="176" fontId="15" fillId="0" borderId="0" xfId="53" applyNumberFormat="1"/>
    <xf numFmtId="176" fontId="15" fillId="0" borderId="0" xfId="33" applyNumberFormat="1"/>
    <xf numFmtId="10" fontId="15" fillId="0" borderId="0" xfId="40" applyNumberFormat="1" applyFont="1" applyAlignment="1" applyProtection="1">
      <alignment horizontal="center"/>
      <protection hidden="1"/>
    </xf>
    <xf numFmtId="187" fontId="0" fillId="0" borderId="0" xfId="51" applyNumberFormat="1" applyFont="1" applyFill="1" applyBorder="1"/>
    <xf numFmtId="189" fontId="15" fillId="0" borderId="0" xfId="53" applyNumberFormat="1"/>
    <xf numFmtId="189" fontId="15" fillId="0" borderId="0" xfId="51" applyNumberFormat="1" applyFont="1"/>
    <xf numFmtId="189" fontId="0" fillId="0" borderId="0" xfId="51" applyNumberFormat="1" applyFont="1"/>
    <xf numFmtId="164" fontId="15" fillId="0" borderId="0" xfId="33" applyFont="1"/>
    <xf numFmtId="164" fontId="0" fillId="0" borderId="0" xfId="33" applyFont="1"/>
    <xf numFmtId="182" fontId="0" fillId="0" borderId="0" xfId="51" applyNumberFormat="1" applyFont="1" applyFill="1" applyBorder="1"/>
    <xf numFmtId="37" fontId="54" fillId="0" borderId="0" xfId="37" applyFont="1" applyAlignment="1" applyProtection="1">
      <alignment horizontal="center" vertical="center"/>
      <protection hidden="1"/>
    </xf>
    <xf numFmtId="37" fontId="15" fillId="0" borderId="0" xfId="37" applyFont="1" applyAlignment="1" applyProtection="1">
      <alignment horizontal="center" vertical="center" wrapText="1"/>
      <protection hidden="1"/>
    </xf>
    <xf numFmtId="173" fontId="15" fillId="0" borderId="0" xfId="37" applyNumberFormat="1" applyFont="1" applyAlignment="1" applyProtection="1">
      <alignment horizontal="center" vertical="center" wrapText="1"/>
      <protection hidden="1"/>
    </xf>
    <xf numFmtId="182" fontId="39" fillId="24" borderId="0" xfId="51" applyNumberFormat="1" applyFont="1" applyFill="1" applyAlignment="1">
      <alignment horizontal="center" vertical="center"/>
    </xf>
    <xf numFmtId="0" fontId="44" fillId="24" borderId="0" xfId="106" applyFont="1" applyFill="1"/>
    <xf numFmtId="9" fontId="39" fillId="24" borderId="0" xfId="107" applyFont="1" applyFill="1" applyAlignment="1">
      <alignment horizontal="center" vertical="center"/>
    </xf>
    <xf numFmtId="0" fontId="39" fillId="24" borderId="0" xfId="106" applyFont="1" applyFill="1"/>
    <xf numFmtId="164" fontId="15" fillId="0" borderId="0" xfId="33"/>
    <xf numFmtId="187" fontId="15" fillId="0" borderId="0" xfId="53" applyNumberFormat="1"/>
    <xf numFmtId="191" fontId="15" fillId="0" borderId="0" xfId="37" applyNumberFormat="1" applyFont="1" applyProtection="1">
      <protection hidden="1"/>
    </xf>
    <xf numFmtId="192" fontId="15" fillId="0" borderId="0" xfId="37" applyNumberFormat="1" applyFont="1" applyProtection="1">
      <protection hidden="1"/>
    </xf>
    <xf numFmtId="192" fontId="39" fillId="0" borderId="0" xfId="37" applyNumberFormat="1" applyFont="1" applyProtection="1">
      <protection hidden="1"/>
    </xf>
    <xf numFmtId="192" fontId="44" fillId="0" borderId="0" xfId="37" applyNumberFormat="1" applyFont="1" applyProtection="1">
      <protection hidden="1"/>
    </xf>
    <xf numFmtId="0" fontId="15" fillId="24" borderId="0" xfId="106" applyNumberFormat="1" applyFill="1"/>
    <xf numFmtId="174" fontId="60" fillId="0" borderId="10" xfId="0" applyNumberFormat="1" applyFont="1" applyFill="1" applyBorder="1" applyAlignment="1" applyProtection="1">
      <alignment horizontal="center" vertical="center" wrapText="1"/>
      <protection hidden="1"/>
    </xf>
    <xf numFmtId="37" fontId="15" fillId="0" borderId="0" xfId="37" applyFont="1" applyFill="1" applyProtection="1">
      <protection hidden="1"/>
    </xf>
    <xf numFmtId="37" fontId="51" fillId="0" borderId="0" xfId="37" applyFont="1" applyFill="1" applyProtection="1">
      <protection hidden="1"/>
    </xf>
    <xf numFmtId="37" fontId="15" fillId="0" borderId="0" xfId="37" applyFont="1" applyBorder="1" applyAlignment="1" applyProtection="1">
      <alignment horizontal="right"/>
      <protection hidden="1"/>
    </xf>
    <xf numFmtId="165" fontId="15" fillId="27" borderId="0" xfId="33" applyNumberFormat="1" applyFont="1" applyFill="1" applyBorder="1" applyAlignment="1" applyProtection="1">
      <alignment horizontal="right"/>
      <protection hidden="1"/>
    </xf>
    <xf numFmtId="37" fontId="19" fillId="0" borderId="0" xfId="37" applyFont="1" applyFill="1" applyBorder="1" applyAlignment="1" applyProtection="1">
      <alignment horizontal="right"/>
      <protection hidden="1"/>
    </xf>
    <xf numFmtId="37" fontId="15" fillId="0" borderId="0" xfId="37" applyFont="1" applyBorder="1" applyProtection="1">
      <protection hidden="1"/>
    </xf>
    <xf numFmtId="165" fontId="15" fillId="27" borderId="0" xfId="33" applyNumberFormat="1" applyFont="1" applyFill="1" applyBorder="1" applyProtection="1">
      <protection hidden="1"/>
    </xf>
    <xf numFmtId="37" fontId="15" fillId="0" borderId="21" xfId="37" applyFont="1" applyBorder="1" applyAlignment="1" applyProtection="1">
      <alignment horizontal="left"/>
      <protection hidden="1"/>
    </xf>
    <xf numFmtId="37" fontId="15" fillId="0" borderId="14" xfId="37" applyFont="1" applyBorder="1" applyAlignment="1" applyProtection="1">
      <alignment horizontal="left"/>
      <protection hidden="1"/>
    </xf>
    <xf numFmtId="191" fontId="15" fillId="0" borderId="13" xfId="37" applyNumberFormat="1" applyFont="1" applyBorder="1" applyProtection="1">
      <protection hidden="1"/>
    </xf>
    <xf numFmtId="37" fontId="19" fillId="0" borderId="24" xfId="37" applyFont="1" applyBorder="1" applyAlignment="1" applyProtection="1">
      <alignment horizontal="left"/>
      <protection hidden="1"/>
    </xf>
    <xf numFmtId="37" fontId="19" fillId="0" borderId="25" xfId="37" applyFont="1" applyBorder="1" applyAlignment="1" applyProtection="1">
      <alignment horizontal="right"/>
      <protection hidden="1"/>
    </xf>
    <xf numFmtId="37" fontId="19" fillId="27" borderId="25" xfId="37" applyFont="1" applyFill="1" applyBorder="1" applyAlignment="1" applyProtection="1">
      <alignment horizontal="right"/>
      <protection hidden="1"/>
    </xf>
    <xf numFmtId="37" fontId="19" fillId="0" borderId="25" xfId="37" applyFont="1" applyFill="1" applyBorder="1" applyAlignment="1" applyProtection="1">
      <alignment horizontal="right"/>
      <protection hidden="1"/>
    </xf>
    <xf numFmtId="191" fontId="19" fillId="0" borderId="26" xfId="37" applyNumberFormat="1" applyFont="1" applyBorder="1" applyAlignment="1" applyProtection="1">
      <alignment horizontal="right"/>
      <protection hidden="1"/>
    </xf>
    <xf numFmtId="37" fontId="15" fillId="0" borderId="0" xfId="37" applyFont="1" applyFill="1" applyBorder="1" applyAlignment="1" applyProtection="1">
      <alignment wrapText="1"/>
      <protection hidden="1"/>
    </xf>
    <xf numFmtId="191" fontId="15" fillId="0" borderId="13" xfId="37" applyNumberFormat="1" applyFont="1" applyBorder="1" applyAlignment="1" applyProtection="1">
      <alignment horizontal="right"/>
      <protection hidden="1"/>
    </xf>
    <xf numFmtId="49" fontId="49" fillId="0" borderId="15" xfId="54" applyNumberFormat="1" applyFont="1" applyFill="1" applyBorder="1" applyAlignment="1" applyProtection="1">
      <alignment horizontal="center" vertical="center" wrapText="1"/>
      <protection hidden="1"/>
    </xf>
    <xf numFmtId="37" fontId="19" fillId="0" borderId="15" xfId="37" applyFont="1" applyBorder="1" applyAlignment="1" applyProtection="1">
      <alignment horizontal="center" vertical="center" wrapText="1"/>
      <protection hidden="1"/>
    </xf>
    <xf numFmtId="37" fontId="15" fillId="0" borderId="13" xfId="37" applyFont="1" applyBorder="1" applyAlignment="1" applyProtection="1">
      <alignment horizontal="right"/>
      <protection hidden="1"/>
    </xf>
    <xf numFmtId="37" fontId="19" fillId="0" borderId="26" xfId="37" applyFont="1" applyBorder="1" applyAlignment="1" applyProtection="1">
      <alignment horizontal="right"/>
      <protection hidden="1"/>
    </xf>
    <xf numFmtId="3" fontId="38" fillId="0" borderId="0" xfId="0" applyNumberFormat="1" applyFont="1" applyBorder="1" applyProtection="1">
      <protection hidden="1"/>
    </xf>
    <xf numFmtId="174" fontId="15" fillId="0" borderId="0" xfId="40" applyNumberFormat="1" applyFont="1" applyFill="1" applyBorder="1" applyProtection="1">
      <protection hidden="1"/>
    </xf>
    <xf numFmtId="174" fontId="15" fillId="0" borderId="0" xfId="33" applyNumberFormat="1" applyFont="1" applyFill="1" applyBorder="1" applyProtection="1">
      <protection hidden="1"/>
    </xf>
    <xf numFmtId="3" fontId="38" fillId="0" borderId="22" xfId="0" applyNumberFormat="1" applyFont="1" applyBorder="1" applyProtection="1">
      <protection hidden="1"/>
    </xf>
    <xf numFmtId="174" fontId="15" fillId="0" borderId="22" xfId="40" applyNumberFormat="1" applyFont="1" applyFill="1" applyBorder="1" applyProtection="1">
      <protection hidden="1"/>
    </xf>
    <xf numFmtId="37" fontId="15" fillId="0" borderId="22" xfId="37" applyFont="1" applyBorder="1" applyProtection="1">
      <protection hidden="1"/>
    </xf>
    <xf numFmtId="174" fontId="15" fillId="0" borderId="22" xfId="33" applyNumberFormat="1" applyFont="1" applyFill="1" applyBorder="1" applyProtection="1">
      <protection hidden="1"/>
    </xf>
    <xf numFmtId="174" fontId="15" fillId="0" borderId="23" xfId="37" applyNumberFormat="1" applyFont="1" applyBorder="1" applyProtection="1">
      <protection hidden="1"/>
    </xf>
    <xf numFmtId="174" fontId="15" fillId="0" borderId="13" xfId="37" applyNumberFormat="1" applyFont="1" applyBorder="1" applyProtection="1">
      <protection hidden="1"/>
    </xf>
    <xf numFmtId="3" fontId="40" fillId="0" borderId="25" xfId="0" applyNumberFormat="1" applyFont="1" applyBorder="1" applyProtection="1">
      <protection hidden="1"/>
    </xf>
    <xf numFmtId="174" fontId="19" fillId="0" borderId="25" xfId="40" applyNumberFormat="1" applyFont="1" applyFill="1" applyBorder="1" applyProtection="1">
      <protection hidden="1"/>
    </xf>
    <xf numFmtId="37" fontId="19" fillId="0" borderId="25" xfId="37" applyFont="1" applyBorder="1" applyProtection="1">
      <protection hidden="1"/>
    </xf>
    <xf numFmtId="174" fontId="19" fillId="0" borderId="26" xfId="37" applyNumberFormat="1" applyFont="1" applyBorder="1" applyProtection="1">
      <protection hidden="1"/>
    </xf>
    <xf numFmtId="186" fontId="15" fillId="24" borderId="0" xfId="106" applyNumberFormat="1" applyFill="1" applyBorder="1"/>
    <xf numFmtId="183" fontId="15" fillId="24" borderId="0" xfId="106" applyNumberFormat="1" applyFill="1" applyBorder="1"/>
    <xf numFmtId="184" fontId="15" fillId="24" borderId="0" xfId="106" applyNumberFormat="1" applyFill="1" applyBorder="1"/>
    <xf numFmtId="41" fontId="15" fillId="24" borderId="0" xfId="106" applyNumberFormat="1" applyFill="1" applyBorder="1"/>
    <xf numFmtId="0" fontId="19" fillId="0" borderId="21" xfId="106" applyFont="1" applyBorder="1"/>
    <xf numFmtId="182" fontId="0" fillId="24" borderId="22" xfId="51" applyNumberFormat="1" applyFont="1" applyFill="1" applyBorder="1"/>
    <xf numFmtId="185" fontId="0" fillId="24" borderId="22" xfId="107" applyNumberFormat="1" applyFont="1" applyFill="1" applyBorder="1"/>
    <xf numFmtId="185" fontId="0" fillId="24" borderId="22" xfId="51" applyNumberFormat="1" applyFont="1" applyFill="1" applyBorder="1"/>
    <xf numFmtId="186" fontId="15" fillId="24" borderId="22" xfId="106" applyNumberFormat="1" applyFill="1" applyBorder="1"/>
    <xf numFmtId="183" fontId="15" fillId="24" borderId="22" xfId="106" applyNumberFormat="1" applyFill="1" applyBorder="1"/>
    <xf numFmtId="184" fontId="15" fillId="24" borderId="22" xfId="106" applyNumberFormat="1" applyFill="1" applyBorder="1"/>
    <xf numFmtId="41" fontId="0" fillId="24" borderId="22" xfId="51" applyNumberFormat="1" applyFont="1" applyFill="1" applyBorder="1"/>
    <xf numFmtId="183" fontId="15" fillId="24" borderId="23" xfId="106" applyNumberFormat="1" applyFill="1" applyBorder="1"/>
    <xf numFmtId="0" fontId="19" fillId="0" borderId="14" xfId="106" applyFont="1" applyBorder="1"/>
    <xf numFmtId="183" fontId="15" fillId="24" borderId="13" xfId="106" applyNumberFormat="1" applyFill="1" applyBorder="1"/>
    <xf numFmtId="0" fontId="19" fillId="24" borderId="14" xfId="106" applyFont="1" applyFill="1" applyBorder="1"/>
    <xf numFmtId="0" fontId="19" fillId="24" borderId="24" xfId="106" applyFont="1" applyFill="1" applyBorder="1"/>
    <xf numFmtId="182" fontId="19" fillId="24" borderId="25" xfId="51" applyNumberFormat="1" applyFont="1" applyFill="1" applyBorder="1"/>
    <xf numFmtId="185" fontId="19" fillId="24" borderId="25" xfId="107" applyNumberFormat="1" applyFont="1" applyFill="1" applyBorder="1"/>
    <xf numFmtId="185" fontId="19" fillId="24" borderId="25" xfId="51" applyNumberFormat="1" applyFont="1" applyFill="1" applyBorder="1"/>
    <xf numFmtId="182" fontId="19" fillId="24" borderId="25" xfId="106" applyNumberFormat="1" applyFont="1" applyFill="1" applyBorder="1"/>
    <xf numFmtId="185" fontId="19" fillId="24" borderId="25" xfId="106" applyNumberFormat="1" applyFont="1" applyFill="1" applyBorder="1"/>
    <xf numFmtId="183" fontId="19" fillId="24" borderId="25" xfId="106" applyNumberFormat="1" applyFont="1" applyFill="1" applyBorder="1"/>
    <xf numFmtId="184" fontId="19" fillId="24" borderId="25" xfId="106" applyNumberFormat="1" applyFont="1" applyFill="1" applyBorder="1"/>
    <xf numFmtId="183" fontId="19" fillId="24" borderId="26" xfId="106" applyNumberFormat="1" applyFont="1" applyFill="1" applyBorder="1"/>
    <xf numFmtId="0" fontId="19" fillId="24" borderId="15" xfId="106" applyFont="1" applyFill="1" applyBorder="1" applyAlignment="1">
      <alignment horizontal="center" vertical="center"/>
    </xf>
    <xf numFmtId="0" fontId="19" fillId="24" borderId="15" xfId="106" applyFont="1" applyFill="1" applyBorder="1" applyAlignment="1">
      <alignment horizontal="center" vertical="center" wrapText="1"/>
    </xf>
    <xf numFmtId="0" fontId="19" fillId="24" borderId="25" xfId="106" applyFont="1" applyFill="1" applyBorder="1" applyAlignment="1">
      <alignment horizontal="center" vertical="center" wrapText="1"/>
    </xf>
    <xf numFmtId="0" fontId="19" fillId="24" borderId="25" xfId="106" applyFont="1" applyFill="1" applyBorder="1" applyAlignment="1">
      <alignment vertical="center" wrapText="1"/>
    </xf>
    <xf numFmtId="0" fontId="15" fillId="0" borderId="14" xfId="53" applyBorder="1" applyAlignment="1">
      <alignment vertical="center" wrapText="1"/>
    </xf>
    <xf numFmtId="187" fontId="15" fillId="0" borderId="0" xfId="33" applyNumberFormat="1" applyFont="1" applyFill="1" applyBorder="1" applyAlignment="1">
      <alignment vertical="center" wrapText="1"/>
    </xf>
    <xf numFmtId="187" fontId="15" fillId="0" borderId="0" xfId="53" applyNumberFormat="1" applyBorder="1" applyAlignment="1">
      <alignment horizontal="center" vertical="center" wrapText="1"/>
    </xf>
    <xf numFmtId="187" fontId="15" fillId="0" borderId="13" xfId="53" applyNumberFormat="1" applyBorder="1" applyAlignment="1">
      <alignment horizontal="center" vertical="center" wrapText="1"/>
    </xf>
    <xf numFmtId="0" fontId="19" fillId="0" borderId="24" xfId="53" applyFont="1" applyBorder="1" applyAlignment="1">
      <alignment horizontal="center" vertical="center"/>
    </xf>
    <xf numFmtId="187" fontId="19" fillId="0" borderId="25" xfId="53" applyNumberFormat="1" applyFont="1" applyBorder="1" applyAlignment="1">
      <alignment vertical="center"/>
    </xf>
    <xf numFmtId="187" fontId="19" fillId="0" borderId="25" xfId="53" applyNumberFormat="1" applyFont="1" applyBorder="1" applyAlignment="1">
      <alignment horizontal="center" vertical="center"/>
    </xf>
    <xf numFmtId="187" fontId="19" fillId="0" borderId="26" xfId="53" applyNumberFormat="1" applyFont="1" applyBorder="1" applyAlignment="1">
      <alignment horizontal="center" vertical="center"/>
    </xf>
    <xf numFmtId="0" fontId="19" fillId="0" borderId="29" xfId="53" applyFont="1" applyBorder="1" applyAlignment="1">
      <alignment horizontal="center" vertical="center" wrapText="1"/>
    </xf>
    <xf numFmtId="0" fontId="19" fillId="0" borderId="30" xfId="53" applyFont="1" applyBorder="1" applyAlignment="1">
      <alignment horizontal="center" vertical="center" wrapText="1"/>
    </xf>
    <xf numFmtId="0" fontId="19" fillId="0" borderId="31" xfId="53" applyFont="1" applyBorder="1" applyAlignment="1">
      <alignment horizontal="center" vertical="center" wrapText="1"/>
    </xf>
    <xf numFmtId="0" fontId="19" fillId="0" borderId="24" xfId="53" applyFont="1" applyBorder="1" applyAlignment="1">
      <alignment vertical="center" wrapText="1"/>
    </xf>
    <xf numFmtId="187" fontId="19" fillId="0" borderId="25" xfId="33" applyNumberFormat="1" applyFont="1" applyFill="1" applyBorder="1" applyAlignment="1">
      <alignment vertical="center" wrapText="1"/>
    </xf>
    <xf numFmtId="187" fontId="19" fillId="0" borderId="25" xfId="53" applyNumberFormat="1" applyFont="1" applyBorder="1" applyAlignment="1">
      <alignment horizontal="center" vertical="center" wrapText="1"/>
    </xf>
    <xf numFmtId="187" fontId="19" fillId="0" borderId="25" xfId="33" applyNumberFormat="1" applyFont="1" applyFill="1" applyBorder="1" applyAlignment="1">
      <alignment horizontal="center" vertical="center" wrapText="1"/>
    </xf>
    <xf numFmtId="187" fontId="19" fillId="0" borderId="26" xfId="53" applyNumberFormat="1" applyFont="1" applyBorder="1" applyAlignment="1">
      <alignment horizontal="center" vertical="center" wrapText="1"/>
    </xf>
    <xf numFmtId="187" fontId="19" fillId="0" borderId="13" xfId="51" applyNumberFormat="1" applyFont="1" applyFill="1" applyBorder="1"/>
    <xf numFmtId="182" fontId="19" fillId="0" borderId="24" xfId="51" applyNumberFormat="1" applyFont="1" applyFill="1" applyBorder="1"/>
    <xf numFmtId="0" fontId="58" fillId="26" borderId="29" xfId="0" applyFont="1" applyFill="1" applyBorder="1" applyAlignment="1">
      <alignment horizontal="center" vertical="center"/>
    </xf>
    <xf numFmtId="43" fontId="19" fillId="0" borderId="31" xfId="51" applyFont="1" applyFill="1" applyBorder="1" applyAlignment="1">
      <alignment horizontal="center" vertical="center"/>
    </xf>
    <xf numFmtId="165" fontId="15" fillId="0" borderId="0" xfId="33" applyNumberFormat="1" applyFont="1" applyFill="1" applyBorder="1" applyProtection="1">
      <protection hidden="1"/>
    </xf>
    <xf numFmtId="170" fontId="15" fillId="0" borderId="0" xfId="33" applyNumberFormat="1" applyFont="1" applyFill="1" applyBorder="1" applyProtection="1">
      <protection hidden="1"/>
    </xf>
    <xf numFmtId="176" fontId="15" fillId="0" borderId="0" xfId="40" applyNumberFormat="1" applyFont="1" applyFill="1" applyBorder="1" applyProtection="1">
      <protection hidden="1"/>
    </xf>
    <xf numFmtId="173" fontId="15" fillId="0" borderId="0" xfId="40" applyNumberFormat="1" applyFont="1" applyFill="1" applyBorder="1" applyProtection="1">
      <protection hidden="1"/>
    </xf>
    <xf numFmtId="175" fontId="15" fillId="0" borderId="0" xfId="40" applyNumberFormat="1" applyFont="1" applyFill="1" applyBorder="1" applyProtection="1">
      <protection hidden="1"/>
    </xf>
    <xf numFmtId="165" fontId="38" fillId="0" borderId="0" xfId="33" applyNumberFormat="1" applyFont="1" applyBorder="1" applyProtection="1">
      <protection hidden="1"/>
    </xf>
    <xf numFmtId="170" fontId="38" fillId="0" borderId="0" xfId="33" applyNumberFormat="1" applyFont="1" applyBorder="1" applyProtection="1">
      <protection hidden="1"/>
    </xf>
    <xf numFmtId="190" fontId="38" fillId="0" borderId="0" xfId="33" applyNumberFormat="1" applyFont="1" applyBorder="1" applyProtection="1">
      <protection hidden="1"/>
    </xf>
    <xf numFmtId="172" fontId="38" fillId="0" borderId="0" xfId="33" applyNumberFormat="1" applyFont="1" applyBorder="1" applyProtection="1">
      <protection hidden="1"/>
    </xf>
    <xf numFmtId="165" fontId="15" fillId="0" borderId="22" xfId="33" applyNumberFormat="1" applyFont="1" applyFill="1" applyBorder="1" applyProtection="1">
      <protection hidden="1"/>
    </xf>
    <xf numFmtId="170" fontId="15" fillId="0" borderId="22" xfId="33" applyNumberFormat="1" applyFont="1" applyFill="1" applyBorder="1" applyProtection="1">
      <protection hidden="1"/>
    </xf>
    <xf numFmtId="176" fontId="15" fillId="0" borderId="22" xfId="40" applyNumberFormat="1" applyFont="1" applyFill="1" applyBorder="1" applyProtection="1">
      <protection hidden="1"/>
    </xf>
    <xf numFmtId="173" fontId="15" fillId="0" borderId="22" xfId="40" applyNumberFormat="1" applyFont="1" applyFill="1" applyBorder="1" applyProtection="1">
      <protection hidden="1"/>
    </xf>
    <xf numFmtId="175" fontId="15" fillId="0" borderId="22" xfId="40" applyNumberFormat="1" applyFont="1" applyFill="1" applyBorder="1" applyProtection="1">
      <protection hidden="1"/>
    </xf>
    <xf numFmtId="165" fontId="38" fillId="0" borderId="22" xfId="33" applyNumberFormat="1" applyFont="1" applyBorder="1" applyProtection="1">
      <protection hidden="1"/>
    </xf>
    <xf numFmtId="170" fontId="38" fillId="0" borderId="22" xfId="33" applyNumberFormat="1" applyFont="1" applyBorder="1" applyProtection="1">
      <protection hidden="1"/>
    </xf>
    <xf numFmtId="190" fontId="38" fillId="0" borderId="22" xfId="33" applyNumberFormat="1" applyFont="1" applyBorder="1" applyProtection="1">
      <protection hidden="1"/>
    </xf>
    <xf numFmtId="172" fontId="38" fillId="0" borderId="22" xfId="33" applyNumberFormat="1" applyFont="1" applyBorder="1" applyProtection="1">
      <protection hidden="1"/>
    </xf>
    <xf numFmtId="165" fontId="40" fillId="0" borderId="25" xfId="33" applyNumberFormat="1" applyFont="1" applyFill="1" applyBorder="1" applyProtection="1">
      <protection hidden="1"/>
    </xf>
    <xf numFmtId="170" fontId="19" fillId="0" borderId="25" xfId="33" applyNumberFormat="1" applyFont="1" applyFill="1" applyBorder="1" applyProtection="1">
      <protection hidden="1"/>
    </xf>
    <xf numFmtId="165" fontId="19" fillId="0" borderId="25" xfId="40" applyNumberFormat="1" applyFont="1" applyFill="1" applyBorder="1" applyProtection="1">
      <protection hidden="1"/>
    </xf>
    <xf numFmtId="176" fontId="19" fillId="0" borderId="25" xfId="40" applyNumberFormat="1" applyFont="1" applyFill="1" applyBorder="1" applyProtection="1">
      <protection hidden="1"/>
    </xf>
    <xf numFmtId="173" fontId="19" fillId="0" borderId="25" xfId="40" applyNumberFormat="1" applyFont="1" applyFill="1" applyBorder="1" applyProtection="1">
      <protection hidden="1"/>
    </xf>
    <xf numFmtId="165" fontId="19" fillId="0" borderId="25" xfId="33" applyNumberFormat="1" applyFont="1" applyFill="1" applyBorder="1" applyProtection="1">
      <protection hidden="1"/>
    </xf>
    <xf numFmtId="175" fontId="19" fillId="0" borderId="25" xfId="40" applyNumberFormat="1" applyFont="1" applyFill="1" applyBorder="1" applyProtection="1">
      <protection hidden="1"/>
    </xf>
    <xf numFmtId="165" fontId="19" fillId="0" borderId="25" xfId="33" applyNumberFormat="1" applyFont="1" applyFill="1" applyBorder="1" applyAlignment="1" applyProtection="1">
      <protection hidden="1"/>
    </xf>
    <xf numFmtId="170" fontId="19" fillId="0" borderId="25" xfId="33" applyNumberFormat="1" applyFont="1" applyFill="1" applyBorder="1" applyAlignment="1" applyProtection="1">
      <protection hidden="1"/>
    </xf>
    <xf numFmtId="172" fontId="19" fillId="0" borderId="25" xfId="33" applyNumberFormat="1" applyFont="1" applyFill="1" applyBorder="1" applyAlignment="1" applyProtection="1">
      <protection hidden="1"/>
    </xf>
    <xf numFmtId="174" fontId="15" fillId="0" borderId="27" xfId="40" applyNumberFormat="1" applyFont="1" applyFill="1" applyBorder="1" applyProtection="1">
      <protection hidden="1"/>
    </xf>
    <xf numFmtId="174" fontId="15" fillId="0" borderId="32" xfId="40" applyNumberFormat="1" applyFont="1" applyFill="1" applyBorder="1" applyProtection="1">
      <protection hidden="1"/>
    </xf>
    <xf numFmtId="174" fontId="19" fillId="0" borderId="28" xfId="40" applyNumberFormat="1" applyFont="1" applyFill="1" applyBorder="1" applyProtection="1">
      <protection hidden="1"/>
    </xf>
    <xf numFmtId="37" fontId="19" fillId="0" borderId="15" xfId="37" applyFont="1" applyBorder="1" applyAlignment="1" applyProtection="1">
      <alignment horizontal="center" vertical="center" wrapText="1"/>
      <protection hidden="1"/>
    </xf>
    <xf numFmtId="37" fontId="19" fillId="24" borderId="15" xfId="37" applyFont="1" applyFill="1" applyBorder="1" applyAlignment="1" applyProtection="1">
      <alignment horizontal="center" vertical="center" wrapText="1"/>
      <protection hidden="1"/>
    </xf>
    <xf numFmtId="9" fontId="19" fillId="24" borderId="15" xfId="40" applyFont="1" applyFill="1" applyBorder="1" applyAlignment="1" applyProtection="1">
      <alignment horizontal="center" vertical="center" wrapText="1"/>
      <protection hidden="1"/>
    </xf>
    <xf numFmtId="173" fontId="19" fillId="24" borderId="15" xfId="40" applyNumberFormat="1" applyFont="1" applyFill="1" applyBorder="1" applyAlignment="1" applyProtection="1">
      <alignment horizontal="center" vertical="center" wrapText="1"/>
      <protection hidden="1"/>
    </xf>
    <xf numFmtId="0" fontId="19" fillId="0" borderId="15" xfId="0" applyFont="1" applyBorder="1" applyAlignment="1" applyProtection="1">
      <alignment horizontal="center" vertical="center" wrapText="1"/>
      <protection hidden="1"/>
    </xf>
    <xf numFmtId="9" fontId="19" fillId="0" borderId="15" xfId="0" applyNumberFormat="1" applyFont="1" applyBorder="1" applyAlignment="1" applyProtection="1">
      <alignment horizontal="center" vertical="center" wrapText="1"/>
      <protection hidden="1"/>
    </xf>
    <xf numFmtId="0" fontId="46" fillId="0" borderId="15" xfId="0" applyFont="1" applyBorder="1" applyAlignment="1" applyProtection="1">
      <alignment horizontal="center" vertical="center" wrapText="1"/>
      <protection hidden="1"/>
    </xf>
    <xf numFmtId="9" fontId="19" fillId="0" borderId="15" xfId="40" applyFont="1" applyFill="1" applyBorder="1" applyAlignment="1" applyProtection="1">
      <alignment horizontal="center" vertical="center" wrapText="1"/>
      <protection hidden="1"/>
    </xf>
    <xf numFmtId="174" fontId="46" fillId="0" borderId="15" xfId="0" applyNumberFormat="1" applyFont="1" applyBorder="1" applyAlignment="1" applyProtection="1">
      <alignment horizontal="center" vertical="center" wrapText="1"/>
      <protection hidden="1"/>
    </xf>
    <xf numFmtId="173" fontId="15" fillId="0" borderId="23" xfId="40" applyNumberFormat="1" applyFont="1" applyBorder="1" applyProtection="1">
      <protection hidden="1"/>
    </xf>
    <xf numFmtId="173" fontId="15" fillId="0" borderId="13" xfId="40" applyNumberFormat="1" applyFont="1" applyBorder="1" applyProtection="1">
      <protection hidden="1"/>
    </xf>
    <xf numFmtId="173" fontId="19" fillId="0" borderId="26" xfId="40" applyNumberFormat="1" applyFont="1" applyBorder="1" applyProtection="1">
      <protection hidden="1"/>
    </xf>
    <xf numFmtId="0" fontId="61" fillId="0" borderId="0" xfId="239"/>
    <xf numFmtId="182" fontId="61" fillId="0" borderId="0" xfId="239" applyNumberFormat="1"/>
    <xf numFmtId="43" fontId="61" fillId="0" borderId="0" xfId="239" applyNumberFormat="1"/>
    <xf numFmtId="14" fontId="61" fillId="0" borderId="0" xfId="239" applyNumberFormat="1" applyAlignment="1">
      <alignment horizontal="left"/>
    </xf>
    <xf numFmtId="182" fontId="62" fillId="0" borderId="0" xfId="239" applyNumberFormat="1" applyFont="1"/>
    <xf numFmtId="14" fontId="61" fillId="0" borderId="0" xfId="239" applyNumberFormat="1"/>
    <xf numFmtId="182" fontId="62" fillId="0" borderId="0" xfId="239" applyNumberFormat="1" applyFont="1" applyAlignment="1">
      <alignment horizontal="center" vertical="center"/>
    </xf>
    <xf numFmtId="182" fontId="0" fillId="0" borderId="21" xfId="51" applyNumberFormat="1" applyFont="1" applyBorder="1"/>
    <xf numFmtId="182" fontId="0" fillId="0" borderId="14" xfId="51" applyNumberFormat="1" applyFont="1" applyBorder="1"/>
    <xf numFmtId="187" fontId="19" fillId="0" borderId="25" xfId="51" applyNumberFormat="1" applyFont="1" applyFill="1" applyBorder="1"/>
    <xf numFmtId="187" fontId="19" fillId="0" borderId="26" xfId="51" applyNumberFormat="1" applyFont="1" applyFill="1" applyBorder="1"/>
    <xf numFmtId="174" fontId="63" fillId="0" borderId="0" xfId="37" applyNumberFormat="1" applyFont="1" applyAlignment="1" applyProtection="1">
      <alignment horizontal="center" vertical="center"/>
      <protection hidden="1"/>
    </xf>
    <xf numFmtId="37" fontId="64" fillId="0" borderId="0" xfId="37" applyFont="1" applyProtection="1">
      <protection hidden="1"/>
    </xf>
    <xf numFmtId="174" fontId="64" fillId="0" borderId="0" xfId="37" applyNumberFormat="1" applyFont="1" applyProtection="1">
      <protection hidden="1"/>
    </xf>
    <xf numFmtId="0" fontId="38" fillId="0" borderId="0" xfId="240" applyFont="1"/>
    <xf numFmtId="182" fontId="38" fillId="0" borderId="0" xfId="241" applyNumberFormat="1" applyFont="1"/>
    <xf numFmtId="182" fontId="40" fillId="0" borderId="0" xfId="241" applyNumberFormat="1" applyFont="1"/>
    <xf numFmtId="0" fontId="40" fillId="0" borderId="0" xfId="240" applyFont="1"/>
    <xf numFmtId="182" fontId="40" fillId="0" borderId="26" xfId="241" applyNumberFormat="1" applyFont="1" applyBorder="1"/>
    <xf numFmtId="190" fontId="38" fillId="0" borderId="25" xfId="240" applyNumberFormat="1" applyFont="1" applyBorder="1"/>
    <xf numFmtId="182" fontId="40" fillId="0" borderId="25" xfId="241" applyNumberFormat="1" applyFont="1" applyBorder="1"/>
    <xf numFmtId="0" fontId="40" fillId="0" borderId="24" xfId="240" applyFont="1" applyBorder="1"/>
    <xf numFmtId="182" fontId="38" fillId="0" borderId="13" xfId="241" applyNumberFormat="1" applyFont="1" applyBorder="1" applyAlignment="1"/>
    <xf numFmtId="190" fontId="38" fillId="0" borderId="0" xfId="240" applyNumberFormat="1" applyFont="1" applyBorder="1"/>
    <xf numFmtId="182" fontId="38" fillId="0" borderId="0" xfId="241" applyNumberFormat="1" applyFont="1" applyBorder="1" applyAlignment="1">
      <alignment horizontal="center"/>
    </xf>
    <xf numFmtId="0" fontId="38" fillId="0" borderId="14" xfId="240" applyFont="1" applyBorder="1"/>
    <xf numFmtId="0" fontId="38" fillId="0" borderId="0" xfId="240" applyNumberFormat="1" applyFont="1"/>
    <xf numFmtId="190" fontId="38" fillId="0" borderId="0" xfId="240" applyNumberFormat="1" applyFont="1" applyBorder="1" applyAlignment="1">
      <alignment horizontal="center"/>
    </xf>
    <xf numFmtId="182" fontId="40" fillId="0" borderId="15" xfId="241" applyNumberFormat="1" applyFont="1" applyBorder="1" applyAlignment="1">
      <alignment horizontal="center"/>
    </xf>
    <xf numFmtId="0" fontId="40" fillId="0" borderId="15" xfId="240" applyFont="1" applyBorder="1" applyAlignment="1">
      <alignment horizontal="center"/>
    </xf>
    <xf numFmtId="182" fontId="40" fillId="0" borderId="15" xfId="241" applyNumberFormat="1" applyFont="1" applyBorder="1" applyAlignment="1">
      <alignment horizontal="center" vertical="center"/>
    </xf>
    <xf numFmtId="0" fontId="40" fillId="0" borderId="15" xfId="240" applyFont="1" applyBorder="1"/>
    <xf numFmtId="0" fontId="58" fillId="0" borderId="30" xfId="0" applyFont="1" applyFill="1" applyBorder="1" applyAlignment="1">
      <alignment horizontal="center" vertical="center" wrapText="1"/>
    </xf>
    <xf numFmtId="182" fontId="58" fillId="0" borderId="30" xfId="33" applyNumberFormat="1" applyFont="1" applyFill="1" applyBorder="1" applyAlignment="1">
      <alignment horizontal="center" vertical="center" wrapText="1"/>
    </xf>
    <xf numFmtId="182" fontId="19" fillId="0" borderId="0" xfId="51" applyNumberFormat="1" applyFont="1" applyAlignment="1">
      <alignment horizontal="center"/>
    </xf>
    <xf numFmtId="182" fontId="19" fillId="0" borderId="0" xfId="51" applyNumberFormat="1" applyFont="1" applyAlignment="1">
      <alignment horizontal="left"/>
    </xf>
    <xf numFmtId="0" fontId="19" fillId="0" borderId="0" xfId="53" applyFont="1" applyAlignment="1">
      <alignment horizontal="center" vertical="center"/>
    </xf>
    <xf numFmtId="0" fontId="19" fillId="0" borderId="25" xfId="53" applyFont="1" applyBorder="1" applyAlignment="1">
      <alignment horizontal="center" vertical="center"/>
    </xf>
    <xf numFmtId="182" fontId="62" fillId="0" borderId="0" xfId="239" applyNumberFormat="1" applyFont="1" applyAlignment="1">
      <alignment horizontal="center" vertical="center"/>
    </xf>
    <xf numFmtId="182" fontId="62" fillId="0" borderId="0" xfId="239" applyNumberFormat="1" applyFont="1" applyAlignment="1">
      <alignment horizontal="center"/>
    </xf>
    <xf numFmtId="182" fontId="62" fillId="0" borderId="0" xfId="239" applyNumberFormat="1" applyFont="1" applyAlignment="1">
      <alignment horizontal="center" vertical="center" wrapText="1"/>
    </xf>
    <xf numFmtId="37" fontId="15" fillId="0" borderId="0" xfId="37" applyFont="1" applyAlignment="1" applyProtection="1">
      <alignment horizontal="left" vertical="top" wrapText="1"/>
      <protection hidden="1"/>
    </xf>
    <xf numFmtId="0" fontId="47" fillId="0" borderId="0" xfId="0" applyFont="1" applyBorder="1" applyAlignment="1">
      <alignment horizontal="center"/>
    </xf>
    <xf numFmtId="37" fontId="47" fillId="0" borderId="0" xfId="37" applyFont="1" applyBorder="1" applyAlignment="1" applyProtection="1">
      <alignment horizontal="center"/>
      <protection hidden="1"/>
    </xf>
    <xf numFmtId="37" fontId="50" fillId="0" borderId="0" xfId="37" applyFont="1" applyAlignment="1" applyProtection="1">
      <alignment horizontal="center" vertical="center" wrapText="1"/>
      <protection hidden="1"/>
    </xf>
    <xf numFmtId="37" fontId="15" fillId="0" borderId="0" xfId="37" applyFont="1" applyAlignment="1" applyProtection="1">
      <alignment horizontal="center" vertical="center" wrapText="1"/>
      <protection hidden="1"/>
    </xf>
    <xf numFmtId="37" fontId="19" fillId="0" borderId="15" xfId="37" applyFont="1" applyBorder="1" applyAlignment="1" applyProtection="1">
      <alignment horizontal="center" vertical="center" wrapText="1"/>
      <protection hidden="1"/>
    </xf>
    <xf numFmtId="49" fontId="49" fillId="0" borderId="15" xfId="54" applyNumberFormat="1" applyFont="1" applyFill="1" applyBorder="1" applyAlignment="1" applyProtection="1">
      <alignment horizontal="center" vertical="center" wrapText="1"/>
      <protection hidden="1"/>
    </xf>
    <xf numFmtId="37" fontId="19" fillId="0" borderId="27" xfId="37" applyFont="1" applyBorder="1" applyAlignment="1" applyProtection="1">
      <alignment horizontal="center" vertical="center" wrapText="1"/>
      <protection hidden="1"/>
    </xf>
    <xf numFmtId="37" fontId="19" fillId="0" borderId="28" xfId="37" applyFont="1" applyBorder="1" applyAlignment="1" applyProtection="1">
      <alignment horizontal="center" vertical="center" wrapText="1"/>
      <protection hidden="1"/>
    </xf>
    <xf numFmtId="37" fontId="63" fillId="0" borderId="0" xfId="37" applyFont="1" applyAlignment="1" applyProtection="1">
      <alignment horizontal="center" wrapText="1"/>
      <protection hidden="1"/>
    </xf>
    <xf numFmtId="37" fontId="63" fillId="0" borderId="11" xfId="37" applyFont="1" applyBorder="1" applyAlignment="1" applyProtection="1">
      <alignment horizontal="center" vertical="center"/>
      <protection hidden="1"/>
    </xf>
    <xf numFmtId="37" fontId="64" fillId="0" borderId="11" xfId="37" applyFont="1" applyBorder="1" applyAlignment="1" applyProtection="1">
      <alignment horizontal="center" vertical="center"/>
      <protection hidden="1"/>
    </xf>
    <xf numFmtId="37" fontId="63" fillId="0" borderId="11" xfId="37" applyFont="1" applyBorder="1" applyAlignment="1" applyProtection="1">
      <alignment horizontal="center" vertical="center" wrapText="1"/>
      <protection hidden="1"/>
    </xf>
    <xf numFmtId="0" fontId="19" fillId="24" borderId="0" xfId="106" applyFont="1" applyFill="1" applyBorder="1" applyAlignment="1">
      <alignment horizontal="center" vertical="center"/>
    </xf>
    <xf numFmtId="0" fontId="15" fillId="24" borderId="0" xfId="106" applyFill="1" applyAlignment="1">
      <alignment horizontal="center" vertical="center"/>
    </xf>
    <xf numFmtId="0" fontId="66" fillId="25" borderId="0" xfId="112" applyNumberFormat="1" applyFont="1" applyBorder="1" applyAlignment="1">
      <alignment horizontal="center"/>
    </xf>
    <xf numFmtId="49" fontId="65" fillId="0" borderId="0" xfId="240" applyNumberFormat="1" applyFont="1" applyBorder="1" applyAlignment="1">
      <alignment horizontal="center"/>
    </xf>
  </cellXfs>
  <cellStyles count="242">
    <cellStyle name="=C:\WINNT\SYSTEM32\COMMAND.COM" xfId="57"/>
    <cellStyle name="20% - Énfasis1" xfId="1" builtinId="30" customBuiltin="1"/>
    <cellStyle name="20% - Énfasis1 2" xfId="58"/>
    <cellStyle name="20% - Énfasis2" xfId="2" builtinId="34" customBuiltin="1"/>
    <cellStyle name="20% - Énfasis2 2" xfId="59"/>
    <cellStyle name="20% - Énfasis3" xfId="3" builtinId="38" customBuiltin="1"/>
    <cellStyle name="20% - Énfasis3 2" xfId="60"/>
    <cellStyle name="20% - Énfasis4" xfId="4" builtinId="42" customBuiltin="1"/>
    <cellStyle name="20% - Énfasis4 2" xfId="61"/>
    <cellStyle name="20% - Énfasis5" xfId="5" builtinId="46" customBuiltin="1"/>
    <cellStyle name="20% - Énfasis5 2" xfId="62"/>
    <cellStyle name="20% - Énfasis6" xfId="6" builtinId="50" customBuiltin="1"/>
    <cellStyle name="20% - Énfasis6 2" xfId="63"/>
    <cellStyle name="40% - Énfasis1" xfId="7" builtinId="31" customBuiltin="1"/>
    <cellStyle name="40% - Énfasis1 2" xfId="64"/>
    <cellStyle name="40% - Énfasis2" xfId="8" builtinId="35" customBuiltin="1"/>
    <cellStyle name="40% - Énfasis2 2" xfId="65"/>
    <cellStyle name="40% - Énfasis3" xfId="9" builtinId="39" customBuiltin="1"/>
    <cellStyle name="40% - Énfasis3 2" xfId="66"/>
    <cellStyle name="40% - Énfasis4" xfId="10" builtinId="43" customBuiltin="1"/>
    <cellStyle name="40% - Énfasis4 2" xfId="67"/>
    <cellStyle name="40% - Énfasis5" xfId="11" builtinId="47" customBuiltin="1"/>
    <cellStyle name="40% - Énfasis5 2" xfId="68"/>
    <cellStyle name="40% - Énfasis6" xfId="12" builtinId="51" customBuiltin="1"/>
    <cellStyle name="40% - Énfasis6 2" xfId="69"/>
    <cellStyle name="60% - Énfasis1" xfId="13" builtinId="32" customBuiltin="1"/>
    <cellStyle name="60% - Énfasis1 2" xfId="70"/>
    <cellStyle name="60% - Énfasis2" xfId="14" builtinId="36" customBuiltin="1"/>
    <cellStyle name="60% - Énfasis2 2" xfId="71"/>
    <cellStyle name="60% - Énfasis3" xfId="15" builtinId="40" customBuiltin="1"/>
    <cellStyle name="60% - Énfasis3 2" xfId="72"/>
    <cellStyle name="60% - Énfasis4" xfId="16" builtinId="44" customBuiltin="1"/>
    <cellStyle name="60% - Énfasis4 2" xfId="73"/>
    <cellStyle name="60% - Énfasis5" xfId="17" builtinId="48" customBuiltin="1"/>
    <cellStyle name="60% - Énfasis5 2" xfId="74"/>
    <cellStyle name="60% - Énfasis6" xfId="18" builtinId="52" customBuiltin="1"/>
    <cellStyle name="60% - Énfasis6 2" xfId="75"/>
    <cellStyle name="Buena" xfId="19" builtinId="26" customBuiltin="1"/>
    <cellStyle name="Buena 2" xfId="76"/>
    <cellStyle name="Buena 3" xfId="112"/>
    <cellStyle name="Cálculo" xfId="20" builtinId="22" customBuiltin="1"/>
    <cellStyle name="Cálculo 2" xfId="77"/>
    <cellStyle name="Cálculo 2 2" xfId="175"/>
    <cellStyle name="Cálculo 3" xfId="120"/>
    <cellStyle name="Celda de comprobación" xfId="21" builtinId="23" customBuiltin="1"/>
    <cellStyle name="Celda de comprobación 2" xfId="78"/>
    <cellStyle name="Celda de comprobación 2 2" xfId="176"/>
    <cellStyle name="Celda de comprobación 3" xfId="121"/>
    <cellStyle name="Celda vinculada" xfId="22" builtinId="24" customBuiltin="1"/>
    <cellStyle name="Celda vinculada 2" xfId="79"/>
    <cellStyle name="Encabezado 1" xfId="46" builtinId="16" customBuiltin="1"/>
    <cellStyle name="Encabezado 4" xfId="23" builtinId="19" customBuiltin="1"/>
    <cellStyle name="Encabezado 4 2" xfId="80"/>
    <cellStyle name="Énfasis1" xfId="24" builtinId="29" customBuiltin="1"/>
    <cellStyle name="Énfasis1 2" xfId="81"/>
    <cellStyle name="Énfasis2" xfId="25" builtinId="33" customBuiltin="1"/>
    <cellStyle name="Énfasis2 2" xfId="82"/>
    <cellStyle name="Énfasis3" xfId="26" builtinId="37" customBuiltin="1"/>
    <cellStyle name="Énfasis3 2" xfId="83"/>
    <cellStyle name="Énfasis4" xfId="27" builtinId="41" customBuiltin="1"/>
    <cellStyle name="Énfasis4 2" xfId="84"/>
    <cellStyle name="Énfasis5" xfId="28" builtinId="45" customBuiltin="1"/>
    <cellStyle name="Énfasis5 2" xfId="85"/>
    <cellStyle name="Énfasis6" xfId="29" builtinId="49" customBuiltin="1"/>
    <cellStyle name="Énfasis6 2" xfId="86"/>
    <cellStyle name="Entrada" xfId="30" builtinId="20" customBuiltin="1"/>
    <cellStyle name="Entrada 2" xfId="87"/>
    <cellStyle name="Entrada 2 2" xfId="177"/>
    <cellStyle name="Entrada 3" xfId="122"/>
    <cellStyle name="Euro" xfId="31"/>
    <cellStyle name="Euro 2" xfId="88"/>
    <cellStyle name="Incorrecto" xfId="32" builtinId="27" customBuiltin="1"/>
    <cellStyle name="Incorrecto 2" xfId="89"/>
    <cellStyle name="Millares" xfId="33" builtinId="3"/>
    <cellStyle name="Millares [0] 2" xfId="90"/>
    <cellStyle name="Millares [0] 2 2" xfId="130"/>
    <cellStyle name="Millares [0] 2 2 2" xfId="199"/>
    <cellStyle name="Millares [0] 2 3" xfId="140"/>
    <cellStyle name="Millares [0] 2 3 2" xfId="209"/>
    <cellStyle name="Millares [0] 2 4" xfId="152"/>
    <cellStyle name="Millares [0] 2 4 2" xfId="221"/>
    <cellStyle name="Millares [0] 2 5" xfId="162"/>
    <cellStyle name="Millares [0] 2 5 2" xfId="231"/>
    <cellStyle name="Millares [0] 2 6" xfId="178"/>
    <cellStyle name="Millares [0] 3" xfId="124"/>
    <cellStyle name="Millares [0] 3 2" xfId="196"/>
    <cellStyle name="Millares [0] 4" xfId="137"/>
    <cellStyle name="Millares [0] 4 2" xfId="206"/>
    <cellStyle name="Millares [0] 5" xfId="149"/>
    <cellStyle name="Millares [0] 5 2" xfId="218"/>
    <cellStyle name="Millares [0] 6" xfId="159"/>
    <cellStyle name="Millares [0] 6 2" xfId="228"/>
    <cellStyle name="Millares 10" xfId="148"/>
    <cellStyle name="Millares 10 2" xfId="217"/>
    <cellStyle name="Millares 11" xfId="158"/>
    <cellStyle name="Millares 11 2" xfId="227"/>
    <cellStyle name="Millares 12" xfId="105"/>
    <cellStyle name="Millares 12 2" xfId="185"/>
    <cellStyle name="Millares 13" xfId="168"/>
    <cellStyle name="Millares 14" xfId="238"/>
    <cellStyle name="Millares 2" xfId="51"/>
    <cellStyle name="Millares 2 2" xfId="54"/>
    <cellStyle name="Millares 2 2 2" xfId="102"/>
    <cellStyle name="Millares 2 2 2 2" xfId="183"/>
    <cellStyle name="Millares 2 2 3" xfId="133"/>
    <cellStyle name="Millares 2 2 3 2" xfId="202"/>
    <cellStyle name="Millares 2 2 4" xfId="143"/>
    <cellStyle name="Millares 2 2 4 2" xfId="212"/>
    <cellStyle name="Millares 2 2 5" xfId="155"/>
    <cellStyle name="Millares 2 2 5 2" xfId="224"/>
    <cellStyle name="Millares 2 2 6" xfId="165"/>
    <cellStyle name="Millares 2 2 6 2" xfId="234"/>
    <cellStyle name="Millares 2 3" xfId="129"/>
    <cellStyle name="Millares 2 3 2" xfId="198"/>
    <cellStyle name="Millares 2 4" xfId="139"/>
    <cellStyle name="Millares 2 4 2" xfId="208"/>
    <cellStyle name="Millares 2 5" xfId="151"/>
    <cellStyle name="Millares 2 5 2" xfId="220"/>
    <cellStyle name="Millares 2 6" xfId="161"/>
    <cellStyle name="Millares 2 6 2" xfId="230"/>
    <cellStyle name="Millares 2 7" xfId="174"/>
    <cellStyle name="Millares 3" xfId="52"/>
    <cellStyle name="Millares 3 2" xfId="128"/>
    <cellStyle name="Millares 3 2 2" xfId="197"/>
    <cellStyle name="Millares 3 3" xfId="138"/>
    <cellStyle name="Millares 3 3 2" xfId="207"/>
    <cellStyle name="Millares 3 4" xfId="150"/>
    <cellStyle name="Millares 3 4 2" xfId="219"/>
    <cellStyle name="Millares 3 5" xfId="160"/>
    <cellStyle name="Millares 3 5 2" xfId="229"/>
    <cellStyle name="Millares 4" xfId="110"/>
    <cellStyle name="Millares 4 2" xfId="187"/>
    <cellStyle name="Millares 5" xfId="114"/>
    <cellStyle name="Millares 5 2" xfId="119"/>
    <cellStyle name="Millares 5 2 2" xfId="194"/>
    <cellStyle name="Millares 5 2 3" xfId="241"/>
    <cellStyle name="Millares 5 3" xfId="190"/>
    <cellStyle name="Millares 6" xfId="116"/>
    <cellStyle name="Millares 6 2" xfId="192"/>
    <cellStyle name="Millares 7" xfId="123"/>
    <cellStyle name="Millares 7 2" xfId="195"/>
    <cellStyle name="Millares 8" xfId="136"/>
    <cellStyle name="Millares 8 2" xfId="205"/>
    <cellStyle name="Millares 9" xfId="147"/>
    <cellStyle name="Millares 9 2" xfId="216"/>
    <cellStyle name="Moneda 2" xfId="111"/>
    <cellStyle name="Moneda 2 2" xfId="135"/>
    <cellStyle name="Moneda 2 2 2" xfId="204"/>
    <cellStyle name="Moneda 2 3" xfId="145"/>
    <cellStyle name="Moneda 2 3 2" xfId="214"/>
    <cellStyle name="Moneda 2 4" xfId="157"/>
    <cellStyle name="Moneda 2 4 2" xfId="226"/>
    <cellStyle name="Moneda 2 5" xfId="167"/>
    <cellStyle name="Moneda 2 5 2" xfId="236"/>
    <cellStyle name="Moneda 2 6" xfId="188"/>
    <cellStyle name="Neutral" xfId="34" builtinId="28" customBuiltin="1"/>
    <cellStyle name="Neutral 2" xfId="91"/>
    <cellStyle name="Normal" xfId="0" builtinId="0"/>
    <cellStyle name="Normal 10" xfId="146"/>
    <cellStyle name="Normal 10 2" xfId="215"/>
    <cellStyle name="Normal 11" xfId="237"/>
    <cellStyle name="Normal 12" xfId="239"/>
    <cellStyle name="Normal 2" xfId="35"/>
    <cellStyle name="Normal 2 10" xfId="169"/>
    <cellStyle name="Normal 2 2" xfId="103"/>
    <cellStyle name="Normal 2 3" xfId="106"/>
    <cellStyle name="Normal 2 4" xfId="108"/>
    <cellStyle name="Normal 2 5" xfId="117"/>
    <cellStyle name="Normal 2 6" xfId="131"/>
    <cellStyle name="Normal 2 6 2" xfId="200"/>
    <cellStyle name="Normal 2 7" xfId="141"/>
    <cellStyle name="Normal 2 7 2" xfId="210"/>
    <cellStyle name="Normal 2 8" xfId="153"/>
    <cellStyle name="Normal 2 8 2" xfId="222"/>
    <cellStyle name="Normal 2 9" xfId="163"/>
    <cellStyle name="Normal 2 9 2" xfId="232"/>
    <cellStyle name="Normal 3" xfId="36"/>
    <cellStyle name="Normal 3 2" xfId="134"/>
    <cellStyle name="Normal 3 2 2" xfId="203"/>
    <cellStyle name="Normal 3 3" xfId="144"/>
    <cellStyle name="Normal 3 3 2" xfId="213"/>
    <cellStyle name="Normal 3 4" xfId="156"/>
    <cellStyle name="Normal 3 4 2" xfId="225"/>
    <cellStyle name="Normal 3 5" xfId="166"/>
    <cellStyle name="Normal 3 5 2" xfId="235"/>
    <cellStyle name="Normal 3 6" xfId="170"/>
    <cellStyle name="Normal 4" xfId="53"/>
    <cellStyle name="Normal 5" xfId="101"/>
    <cellStyle name="Normal 5 2" xfId="182"/>
    <cellStyle name="Normal 6" xfId="104"/>
    <cellStyle name="Normal 6 2" xfId="184"/>
    <cellStyle name="Normal 7" xfId="109"/>
    <cellStyle name="Normal 8" xfId="113"/>
    <cellStyle name="Normal 8 2" xfId="118"/>
    <cellStyle name="Normal 8 2 2" xfId="193"/>
    <cellStyle name="Normal 8 2 3" xfId="240"/>
    <cellStyle name="Normal 8 3" xfId="189"/>
    <cellStyle name="Normal 9" xfId="115"/>
    <cellStyle name="Normal 9 2" xfId="191"/>
    <cellStyle name="Normal_FGPAGO95" xfId="37"/>
    <cellStyle name="Notas" xfId="38" builtinId="10" customBuiltin="1"/>
    <cellStyle name="Notas 2" xfId="92"/>
    <cellStyle name="Notas 2 2" xfId="179"/>
    <cellStyle name="Notas 3" xfId="125"/>
    <cellStyle name="Notas 4" xfId="171"/>
    <cellStyle name="PESOS" xfId="39"/>
    <cellStyle name="PESOS 2" xfId="172"/>
    <cellStyle name="Porcentaje" xfId="40" builtinId="5"/>
    <cellStyle name="Porcentaje 2" xfId="107"/>
    <cellStyle name="Porcentaje 2 2" xfId="132"/>
    <cellStyle name="Porcentaje 2 2 2" xfId="201"/>
    <cellStyle name="Porcentaje 2 3" xfId="142"/>
    <cellStyle name="Porcentaje 2 3 2" xfId="211"/>
    <cellStyle name="Porcentaje 2 4" xfId="154"/>
    <cellStyle name="Porcentaje 2 4 2" xfId="223"/>
    <cellStyle name="Porcentaje 2 5" xfId="164"/>
    <cellStyle name="Porcentaje 2 5 2" xfId="233"/>
    <cellStyle name="Porcentaje 2 6" xfId="186"/>
    <cellStyle name="Porcentual 2" xfId="41"/>
    <cellStyle name="Porcentual 2 2" xfId="173"/>
    <cellStyle name="Porcentual 3" xfId="55"/>
    <cellStyle name="Porcentual 4" xfId="56"/>
    <cellStyle name="Salida" xfId="42" builtinId="21" customBuiltin="1"/>
    <cellStyle name="Salida 2" xfId="93"/>
    <cellStyle name="Salida 2 2" xfId="180"/>
    <cellStyle name="Salida 3" xfId="126"/>
    <cellStyle name="Texto de advertencia" xfId="43" builtinId="11" customBuiltin="1"/>
    <cellStyle name="Texto de advertencia 2" xfId="94"/>
    <cellStyle name="Texto explicativo" xfId="44" builtinId="53" customBuiltin="1"/>
    <cellStyle name="Texto explicativo 2" xfId="95"/>
    <cellStyle name="Título" xfId="45" builtinId="15" customBuiltin="1"/>
    <cellStyle name="Título 1 2" xfId="96"/>
    <cellStyle name="Título 2" xfId="47" builtinId="17" customBuiltin="1"/>
    <cellStyle name="Título 2 2" xfId="97"/>
    <cellStyle name="Título 3" xfId="48" builtinId="18" customBuiltin="1"/>
    <cellStyle name="Título 3 2" xfId="98"/>
    <cellStyle name="Título 4" xfId="99"/>
    <cellStyle name="Total" xfId="49" builtinId="25" customBuiltin="1"/>
    <cellStyle name="Total 2" xfId="100"/>
    <cellStyle name="Total 2 2" xfId="181"/>
    <cellStyle name="Total 3" xfId="127"/>
    <cellStyle name="UDI´s" xfId="5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/>
  </tableStyles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C.Lotus.Notes.Data/CUADERNOS/2002/SEPTIEMBRE/PERFIL%201997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82924/AppData/Local/Microsoft/Windows/Temporary%20Internet%20Files/Content.Outlook/HC2V6S0S/Base%20de%20formatos%202019_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82924/AppData/Local/Microsoft/Windows/Temporary%20Internet%20Files/Content.Outlook/HC2V6S0S/PREDIAL2018INFORMACIONCOMPLETARORDEN%20NL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jose_pena\AppData\Local\Microsoft\Windows\Temporary%20Internet%20Files\Content.Outlook\2WDT6RRY\alumnos%20promedio%20(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c sadm"/>
      <sheetName val="deuda c sadm (2)"/>
      <sheetName val="Alt corridas fin "/>
      <sheetName val="c credito"/>
      <sheetName val="c fideicomiso"/>
      <sheetName val="Bancomer"/>
      <sheetName val="genl-Bancomer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. LLegadas"/>
      <sheetName val="SumP"/>
      <sheetName val="SumA"/>
      <sheetName val="FORMATO 002"/>
      <sheetName val="Formato 001"/>
      <sheetName val="FORMATO 002 (2)"/>
      <sheetName val="datos predial"/>
      <sheetName val="FORMATO 002 (3)"/>
      <sheetName val="FORMATO 009 (3)"/>
      <sheetName val="FORMATO 009 (2)"/>
      <sheetName val="FORMATO 003"/>
      <sheetName val="FORMATO 004"/>
      <sheetName val="FORMATO 004 (2)"/>
      <sheetName val="FORMATO 005"/>
      <sheetName val="FORMATO 006"/>
      <sheetName val="FORMATO 007"/>
      <sheetName val="FORMATO 009"/>
      <sheetName val="FORMATO 008"/>
      <sheetName val="datos agua"/>
      <sheetName val="FORMATO 010"/>
      <sheetName val="FORMATO 011"/>
      <sheetName val="FORMATO 011 (2)"/>
      <sheetName val="FORMATO 012"/>
      <sheetName val="FORMATO 013"/>
      <sheetName val="FORMATO 014"/>
      <sheetName val="Compendio de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Aguascalientes</v>
          </cell>
        </row>
        <row r="3">
          <cell r="C3" t="str">
            <v>Baja California</v>
          </cell>
        </row>
        <row r="4">
          <cell r="C4" t="str">
            <v>Baja California Sur</v>
          </cell>
        </row>
        <row r="5">
          <cell r="C5" t="str">
            <v>Campeche</v>
          </cell>
        </row>
        <row r="6">
          <cell r="C6" t="str">
            <v>Chiapas</v>
          </cell>
        </row>
        <row r="7">
          <cell r="C7" t="str">
            <v>Chihuahua</v>
          </cell>
        </row>
        <row r="8">
          <cell r="C8" t="str">
            <v>Ciudad de México</v>
          </cell>
        </row>
        <row r="9">
          <cell r="C9" t="str">
            <v>Coahuila de Zaragoza</v>
          </cell>
        </row>
        <row r="10">
          <cell r="C10" t="str">
            <v>Colima</v>
          </cell>
        </row>
        <row r="11">
          <cell r="C11" t="str">
            <v>Durango</v>
          </cell>
        </row>
        <row r="12">
          <cell r="C12" t="str">
            <v>Guanajuato</v>
          </cell>
        </row>
        <row r="13">
          <cell r="C13" t="str">
            <v>Guerrero</v>
          </cell>
        </row>
        <row r="14">
          <cell r="C14" t="str">
            <v>Hidalgo</v>
          </cell>
        </row>
        <row r="15">
          <cell r="C15" t="str">
            <v>Jalisco</v>
          </cell>
        </row>
        <row r="16">
          <cell r="C16" t="str">
            <v>México</v>
          </cell>
        </row>
        <row r="17">
          <cell r="C17" t="str">
            <v>Michoacán de Ocampo</v>
          </cell>
        </row>
        <row r="18">
          <cell r="C18" t="str">
            <v>Morelos</v>
          </cell>
        </row>
        <row r="19">
          <cell r="C19" t="str">
            <v>Nayarit</v>
          </cell>
        </row>
        <row r="20">
          <cell r="C20" t="str">
            <v>Nuevo León</v>
          </cell>
        </row>
        <row r="21">
          <cell r="C21" t="str">
            <v>Oaxaca</v>
          </cell>
        </row>
        <row r="22">
          <cell r="C22" t="str">
            <v>Puebla</v>
          </cell>
        </row>
        <row r="23">
          <cell r="C23" t="str">
            <v>Querétaro</v>
          </cell>
        </row>
        <row r="24">
          <cell r="C24" t="str">
            <v>Quintana Roo</v>
          </cell>
        </row>
        <row r="25">
          <cell r="C25" t="str">
            <v>San Luis Potosí</v>
          </cell>
        </row>
        <row r="26">
          <cell r="C26" t="str">
            <v>Sinaloa</v>
          </cell>
        </row>
        <row r="27">
          <cell r="C27" t="str">
            <v>Sonora</v>
          </cell>
        </row>
        <row r="28">
          <cell r="C28" t="str">
            <v>Tabasco</v>
          </cell>
        </row>
        <row r="29">
          <cell r="C29" t="str">
            <v>Tamaulipas</v>
          </cell>
        </row>
        <row r="30">
          <cell r="C30" t="str">
            <v>Tlaxcala</v>
          </cell>
        </row>
        <row r="31">
          <cell r="C31" t="str">
            <v>Veracruz de Ignacio de la Llave</v>
          </cell>
        </row>
        <row r="32">
          <cell r="C32" t="str">
            <v>Yucatán</v>
          </cell>
        </row>
        <row r="33">
          <cell r="C33" t="str">
            <v>Zacatecas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PH - 1-2-3"/>
      <sheetName val="IMPORTE"/>
      <sheetName val="DESCUENTOS"/>
      <sheetName val="NETO"/>
      <sheetName val="EXPEDIENTES"/>
      <sheetName val="fact 2018"/>
      <sheetName val="AÑO ANT"/>
      <sheetName val="COMP NOMINAL"/>
      <sheetName val="COMP %"/>
      <sheetName val="seleccion"/>
      <sheetName val="FACTURACIÓN"/>
    </sheetNames>
    <sheetDataSet>
      <sheetData sheetId="0" refreshError="1"/>
      <sheetData sheetId="1">
        <row r="3">
          <cell r="A3" t="str">
            <v>ABASOLO</v>
          </cell>
        </row>
        <row r="4">
          <cell r="A4" t="str">
            <v>AGUALEGUAS</v>
          </cell>
        </row>
        <row r="5">
          <cell r="A5" t="str">
            <v>ALDAMAS, LOS</v>
          </cell>
        </row>
        <row r="6">
          <cell r="A6" t="str">
            <v>ALLENDE</v>
          </cell>
        </row>
        <row r="7">
          <cell r="A7" t="str">
            <v>ANAHUAC</v>
          </cell>
        </row>
        <row r="8">
          <cell r="A8" t="str">
            <v>APODACA</v>
          </cell>
        </row>
        <row r="9">
          <cell r="A9" t="str">
            <v>ARAMBERRI</v>
          </cell>
        </row>
        <row r="10">
          <cell r="A10" t="str">
            <v>BUSTAMANTE</v>
          </cell>
        </row>
        <row r="11">
          <cell r="A11" t="str">
            <v>CADEREYTA JIMENEZ</v>
          </cell>
        </row>
        <row r="12">
          <cell r="A12" t="str">
            <v>CARMEN</v>
          </cell>
        </row>
        <row r="13">
          <cell r="A13" t="str">
            <v xml:space="preserve">CERRALVO </v>
          </cell>
        </row>
        <row r="14">
          <cell r="A14" t="str">
            <v>CHINA</v>
          </cell>
        </row>
        <row r="15">
          <cell r="A15" t="str">
            <v>CIENEGA DE FLORES</v>
          </cell>
        </row>
        <row r="16">
          <cell r="A16" t="str">
            <v>DOCTOR ARROYO</v>
          </cell>
        </row>
        <row r="17">
          <cell r="A17" t="str">
            <v>DOCTOR COSS</v>
          </cell>
        </row>
        <row r="18">
          <cell r="A18" t="str">
            <v>DOCTOR GONZALEZ</v>
          </cell>
        </row>
        <row r="19">
          <cell r="A19" t="str">
            <v>GALEANA</v>
          </cell>
        </row>
        <row r="20">
          <cell r="A20" t="str">
            <v>GARCIA</v>
          </cell>
        </row>
        <row r="21">
          <cell r="A21" t="str">
            <v>GENERAL BRAVO</v>
          </cell>
        </row>
        <row r="22">
          <cell r="A22" t="str">
            <v>GENERAL ESCOBEDO</v>
          </cell>
        </row>
        <row r="23">
          <cell r="A23" t="str">
            <v>GENERAL TERAN</v>
          </cell>
        </row>
        <row r="24">
          <cell r="A24" t="str">
            <v>GENERAL TREVIÑO</v>
          </cell>
        </row>
        <row r="25">
          <cell r="A25" t="str">
            <v>GENERAL ZARAGOZA</v>
          </cell>
        </row>
        <row r="26">
          <cell r="A26" t="str">
            <v>GENERAL ZUAZUA</v>
          </cell>
        </row>
        <row r="27">
          <cell r="A27" t="str">
            <v>GUADALUPE</v>
          </cell>
        </row>
        <row r="28">
          <cell r="A28" t="str">
            <v>HERRERAS</v>
          </cell>
        </row>
        <row r="29">
          <cell r="A29" t="str">
            <v>HIDALGO</v>
          </cell>
        </row>
        <row r="30">
          <cell r="A30" t="str">
            <v>HIGUERAS</v>
          </cell>
        </row>
        <row r="31">
          <cell r="A31" t="str">
            <v>HUALAHUISES</v>
          </cell>
        </row>
        <row r="32">
          <cell r="A32" t="str">
            <v>ITURBIDE</v>
          </cell>
        </row>
        <row r="33">
          <cell r="A33" t="str">
            <v>JUAREZ</v>
          </cell>
        </row>
        <row r="34">
          <cell r="A34" t="str">
            <v>LAMPAZOS DE NARANJO</v>
          </cell>
        </row>
        <row r="35">
          <cell r="A35" t="str">
            <v>LINARES</v>
          </cell>
        </row>
        <row r="36">
          <cell r="A36" t="str">
            <v>MARIN</v>
          </cell>
        </row>
        <row r="37">
          <cell r="A37" t="str">
            <v>MELCHOR OCAMPO</v>
          </cell>
        </row>
        <row r="38">
          <cell r="A38" t="str">
            <v>MIER Y NORIEGA</v>
          </cell>
        </row>
        <row r="39">
          <cell r="A39" t="str">
            <v>MINA</v>
          </cell>
        </row>
        <row r="40">
          <cell r="A40" t="str">
            <v>MONTEMORELOS</v>
          </cell>
        </row>
        <row r="41">
          <cell r="A41" t="str">
            <v>MONTERREY</v>
          </cell>
        </row>
        <row r="42">
          <cell r="A42" t="str">
            <v>PARAS</v>
          </cell>
        </row>
        <row r="43">
          <cell r="A43" t="str">
            <v>PESQUERIA</v>
          </cell>
        </row>
        <row r="44">
          <cell r="A44" t="str">
            <v>RAMONES</v>
          </cell>
        </row>
        <row r="45">
          <cell r="A45" t="str">
            <v>RAYONES</v>
          </cell>
        </row>
        <row r="46">
          <cell r="A46" t="str">
            <v>SABINAS HIDALGO</v>
          </cell>
        </row>
        <row r="47">
          <cell r="A47" t="str">
            <v>SALINAS VICTORIA</v>
          </cell>
        </row>
        <row r="48">
          <cell r="A48" t="str">
            <v>SAN NICOLAS DE LOS GARZA</v>
          </cell>
        </row>
        <row r="49">
          <cell r="A49" t="str">
            <v>SAN PEDRO GARZA GARCIA</v>
          </cell>
        </row>
        <row r="50">
          <cell r="A50" t="str">
            <v>SANTA CATARINA</v>
          </cell>
        </row>
        <row r="51">
          <cell r="A51" t="str">
            <v>SANTIAGO</v>
          </cell>
        </row>
        <row r="52">
          <cell r="A52" t="str">
            <v>VALLECILLO</v>
          </cell>
        </row>
        <row r="53">
          <cell r="A53" t="str">
            <v>VILLALDAMA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 refreshError="1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tabSelected="1" zoomScale="110" zoomScaleNormal="110" zoomScaleSheetLayoutView="100" workbookViewId="0">
      <selection activeCell="B4" sqref="B4:L4"/>
    </sheetView>
  </sheetViews>
  <sheetFormatPr baseColWidth="10" defaultColWidth="11.42578125" defaultRowHeight="12.75"/>
  <cols>
    <col min="1" max="1" width="3" style="41" bestFit="1" customWidth="1"/>
    <col min="2" max="2" width="28.85546875" style="41" customWidth="1"/>
    <col min="3" max="3" width="13.42578125" style="68" customWidth="1"/>
    <col min="4" max="5" width="13.42578125" style="70" customWidth="1"/>
    <col min="6" max="6" width="13.42578125" style="58" customWidth="1"/>
    <col min="7" max="7" width="13.42578125" style="41" customWidth="1"/>
    <col min="8" max="9" width="13.42578125" style="58" customWidth="1"/>
    <col min="10" max="11" width="13.42578125" style="41" customWidth="1"/>
    <col min="12" max="12" width="13.42578125" style="58" customWidth="1"/>
    <col min="13" max="16384" width="11.42578125" style="41"/>
  </cols>
  <sheetData>
    <row r="1" spans="1:12"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2" ht="12.75" customHeight="1">
      <c r="B2" s="247" t="s">
        <v>169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2" ht="12.75" customHeight="1">
      <c r="B3" s="247" t="s">
        <v>206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</row>
    <row r="4" spans="1:12"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</row>
    <row r="5" spans="1:12" ht="47.25" customHeight="1">
      <c r="B5" s="168" t="s">
        <v>140</v>
      </c>
      <c r="C5" s="245" t="s">
        <v>141</v>
      </c>
      <c r="D5" s="246" t="s">
        <v>142</v>
      </c>
      <c r="E5" s="246" t="s">
        <v>143</v>
      </c>
      <c r="F5" s="246" t="s">
        <v>144</v>
      </c>
      <c r="G5" s="246" t="s">
        <v>145</v>
      </c>
      <c r="H5" s="246" t="s">
        <v>146</v>
      </c>
      <c r="I5" s="246" t="s">
        <v>147</v>
      </c>
      <c r="J5" s="246" t="s">
        <v>221</v>
      </c>
      <c r="K5" s="246" t="s">
        <v>212</v>
      </c>
      <c r="L5" s="169" t="s">
        <v>138</v>
      </c>
    </row>
    <row r="6" spans="1:12">
      <c r="A6" s="85">
        <v>15</v>
      </c>
      <c r="B6" s="220" t="s">
        <v>1</v>
      </c>
      <c r="C6" s="65">
        <f>+'DIST VER ACTUAL'!C6-DISTRIBUCION!C6</f>
        <v>9136.9021171890199</v>
      </c>
      <c r="D6" s="65">
        <f>+'DIST VER ACTUAL'!D6-DISTRIBUCION!D6</f>
        <v>2416.1380601223791</v>
      </c>
      <c r="E6" s="65">
        <f>+'DIST VER ACTUAL'!E6-DISTRIBUCION!E6</f>
        <v>939065.28180368245</v>
      </c>
      <c r="F6" s="65">
        <f>+'DIST VER ACTUAL'!F6-DISTRIBUCION!F6</f>
        <v>270.77091975969961</v>
      </c>
      <c r="G6" s="65">
        <f>+'DIST VER ACTUAL'!G6-DISTRIBUCION!G6</f>
        <v>39398.311979713559</v>
      </c>
      <c r="H6" s="65">
        <f>+'DIST VER ACTUAL'!H6-DISTRIBUCION!H6</f>
        <v>2955.8050502975238</v>
      </c>
      <c r="I6" s="65">
        <f>+'DIST VER ACTUAL'!I6-DISTRIBUCION!I6</f>
        <v>140.33410721620385</v>
      </c>
      <c r="J6" s="65">
        <f>+'DIST VER ACTUAL'!J6-DISTRIBUCION!J6</f>
        <v>1214.3500430925778</v>
      </c>
      <c r="K6" s="65">
        <f>+'DIST VER ACTUAL'!K6-DISTRIBUCION!K6</f>
        <v>-5186.7250345243447</v>
      </c>
      <c r="L6" s="166">
        <f t="shared" ref="L6:L44" si="0">SUM(C6:K6)</f>
        <v>989411.16904654913</v>
      </c>
    </row>
    <row r="7" spans="1:12">
      <c r="A7" s="85">
        <v>11</v>
      </c>
      <c r="B7" s="221" t="s">
        <v>2</v>
      </c>
      <c r="C7" s="65">
        <f>+'DIST VER ACTUAL'!C7-DISTRIBUCION!C7</f>
        <v>-12322.105013193563</v>
      </c>
      <c r="D7" s="65">
        <f>+'DIST VER ACTUAL'!D7-DISTRIBUCION!D7</f>
        <v>39.915268775075674</v>
      </c>
      <c r="E7" s="65">
        <f>+'DIST VER ACTUAL'!E7-DISTRIBUCION!E7</f>
        <v>-271351.62234307639</v>
      </c>
      <c r="F7" s="65">
        <f>+'DIST VER ACTUAL'!F7-DISTRIBUCION!F7</f>
        <v>4.5197232298669405</v>
      </c>
      <c r="G7" s="65">
        <f>+'DIST VER ACTUAL'!G7-DISTRIBUCION!G7</f>
        <v>77157.872801143909</v>
      </c>
      <c r="H7" s="65">
        <f>+'DIST VER ACTUAL'!H7-DISTRIBUCION!H7</f>
        <v>48.285840128606651</v>
      </c>
      <c r="I7" s="65">
        <f>+'DIST VER ACTUAL'!I7-DISTRIBUCION!I7</f>
        <v>2.2999154680073843</v>
      </c>
      <c r="J7" s="65">
        <f>+'DIST VER ACTUAL'!J7-DISTRIBUCION!J7</f>
        <v>19.845797426431091</v>
      </c>
      <c r="K7" s="65">
        <f>+'DIST VER ACTUAL'!K7-DISTRIBUCION!K7</f>
        <v>-4045.5990002136314</v>
      </c>
      <c r="L7" s="166">
        <f t="shared" si="0"/>
        <v>-210446.58701031169</v>
      </c>
    </row>
    <row r="8" spans="1:12">
      <c r="A8" s="85">
        <v>12</v>
      </c>
      <c r="B8" s="221" t="s">
        <v>132</v>
      </c>
      <c r="C8" s="65">
        <f>+'DIST VER ACTUAL'!C8-DISTRIBUCION!C8</f>
        <v>-10941.342486025766</v>
      </c>
      <c r="D8" s="65">
        <f>+'DIST VER ACTUAL'!D8-DISTRIBUCION!D8</f>
        <v>-72.380124039947987</v>
      </c>
      <c r="E8" s="65">
        <f>+'DIST VER ACTUAL'!E8-DISTRIBUCION!E8</f>
        <v>-63218.743345000315</v>
      </c>
      <c r="F8" s="65">
        <f>+'DIST VER ACTUAL'!F8-DISTRIBUCION!F8</f>
        <v>-8.0987794272368774</v>
      </c>
      <c r="G8" s="65">
        <f>+'DIST VER ACTUAL'!G8-DISTRIBUCION!G8</f>
        <v>64252.933768669842</v>
      </c>
      <c r="H8" s="65">
        <f>+'DIST VER ACTUAL'!H8-DISTRIBUCION!H8</f>
        <v>-88.645889116101898</v>
      </c>
      <c r="I8" s="65">
        <f>+'DIST VER ACTUAL'!I8-DISTRIBUCION!I8</f>
        <v>-4.2080198268668028</v>
      </c>
      <c r="J8" s="65">
        <f>+'DIST VER ACTUAL'!J8-DISTRIBUCION!J8</f>
        <v>-36.422810183605179</v>
      </c>
      <c r="K8" s="65">
        <f>+'DIST VER ACTUAL'!K8-DISTRIBUCION!K8</f>
        <v>-319.6430175944497</v>
      </c>
      <c r="L8" s="166">
        <f t="shared" si="0"/>
        <v>-10436.550702544448</v>
      </c>
    </row>
    <row r="9" spans="1:12">
      <c r="A9" s="85">
        <v>13</v>
      </c>
      <c r="B9" s="221" t="s">
        <v>3</v>
      </c>
      <c r="C9" s="65">
        <f>+'DIST VER ACTUAL'!C9-DISTRIBUCION!C9</f>
        <v>-6387.9119466394186</v>
      </c>
      <c r="D9" s="65">
        <f>+'DIST VER ACTUAL'!D9-DISTRIBUCION!D9</f>
        <v>1132.0248818965629</v>
      </c>
      <c r="E9" s="65">
        <f>+'DIST VER ACTUAL'!E9-DISTRIBUCION!E9</f>
        <v>-138083.00368068926</v>
      </c>
      <c r="F9" s="65">
        <f>+'DIST VER ACTUAL'!F9-DISTRIBUCION!F9</f>
        <v>128.30834948015399</v>
      </c>
      <c r="G9" s="65">
        <f>+'DIST VER ACTUAL'!G9-DISTRIBUCION!G9</f>
        <v>83881.060532517731</v>
      </c>
      <c r="H9" s="65">
        <f>+'DIST VER ACTUAL'!H9-DISTRIBUCION!H9</f>
        <v>1365.3502024849877</v>
      </c>
      <c r="I9" s="65">
        <f>+'DIST VER ACTUAL'!I9-DISTRIBUCION!I9</f>
        <v>64.869972227403196</v>
      </c>
      <c r="J9" s="65">
        <f>+'DIST VER ACTUAL'!J9-DISTRIBUCION!J9</f>
        <v>561.17338535177987</v>
      </c>
      <c r="K9" s="65">
        <f>+'DIST VER ACTUAL'!K9-DISTRIBUCION!K9</f>
        <v>-99554.931972211925</v>
      </c>
      <c r="L9" s="166">
        <f t="shared" si="0"/>
        <v>-156893.06027558199</v>
      </c>
    </row>
    <row r="10" spans="1:12">
      <c r="A10" s="85">
        <v>14</v>
      </c>
      <c r="B10" s="221" t="s">
        <v>133</v>
      </c>
      <c r="C10" s="65">
        <f>+'DIST VER ACTUAL'!C10-DISTRIBUCION!C10</f>
        <v>-4901.2400505766273</v>
      </c>
      <c r="D10" s="65">
        <f>+'DIST VER ACTUAL'!D10-DISTRIBUCION!D10</f>
        <v>5729.3055488932878</v>
      </c>
      <c r="E10" s="65">
        <f>+'DIST VER ACTUAL'!E10-DISTRIBUCION!E10</f>
        <v>756244.81021313835</v>
      </c>
      <c r="F10" s="65">
        <f>+'DIST VER ACTUAL'!F10-DISTRIBUCION!F10</f>
        <v>642.09103369596414</v>
      </c>
      <c r="G10" s="65">
        <f>+'DIST VER ACTUAL'!G10-DISTRIBUCION!G10</f>
        <v>256381.9646983603</v>
      </c>
      <c r="H10" s="65">
        <f>+'DIST VER ACTUAL'!H10-DISTRIBUCION!H10</f>
        <v>7008.655770202633</v>
      </c>
      <c r="I10" s="65">
        <f>+'DIST VER ACTUAL'!I10-DISTRIBUCION!I10</f>
        <v>332.74721194297308</v>
      </c>
      <c r="J10" s="65">
        <f>+'DIST VER ACTUAL'!J10-DISTRIBUCION!J10</f>
        <v>2879.4159025941044</v>
      </c>
      <c r="K10" s="65">
        <f>+'DIST VER ACTUAL'!K10-DISTRIBUCION!K10</f>
        <v>10701.335430556501</v>
      </c>
      <c r="L10" s="166">
        <f t="shared" si="0"/>
        <v>1035019.0857588074</v>
      </c>
    </row>
    <row r="11" spans="1:12">
      <c r="A11" s="85">
        <v>17</v>
      </c>
      <c r="B11" s="221" t="s">
        <v>4</v>
      </c>
      <c r="C11" s="65">
        <f>+'DIST VER ACTUAL'!C11-DISTRIBUCION!C11</f>
        <v>44277.247222065926</v>
      </c>
      <c r="D11" s="65">
        <f>+'DIST VER ACTUAL'!D11-DISTRIBUCION!D11</f>
        <v>-29622.561634786427</v>
      </c>
      <c r="E11" s="65">
        <f>+'DIST VER ACTUAL'!E11-DISTRIBUCION!E11</f>
        <v>-170865.39570670202</v>
      </c>
      <c r="F11" s="65">
        <f>+'DIST VER ACTUAL'!F11-DISTRIBUCION!F11</f>
        <v>-3298.1750103924423</v>
      </c>
      <c r="G11" s="65">
        <f>+'DIST VER ACTUAL'!G11-DISTRIBUCION!G11</f>
        <v>-1442018.1188628376</v>
      </c>
      <c r="H11" s="65">
        <f>+'DIST VER ACTUAL'!H11-DISTRIBUCION!H11</f>
        <v>-36530.564081618562</v>
      </c>
      <c r="I11" s="65">
        <f>+'DIST VER ACTUAL'!I11-DISTRIBUCION!I11</f>
        <v>-1733.675128512783</v>
      </c>
      <c r="J11" s="65">
        <f>+'DIST VER ACTUAL'!J11-DISTRIBUCION!J11</f>
        <v>-15004.50721389614</v>
      </c>
      <c r="K11" s="65">
        <f>+'DIST VER ACTUAL'!K11-DISTRIBUCION!K11</f>
        <v>521254.46367400885</v>
      </c>
      <c r="L11" s="166">
        <f t="shared" si="0"/>
        <v>-1133541.2867426712</v>
      </c>
    </row>
    <row r="12" spans="1:12">
      <c r="A12" s="85">
        <v>16</v>
      </c>
      <c r="B12" s="221" t="s">
        <v>5</v>
      </c>
      <c r="C12" s="65">
        <f>+'DIST VER ACTUAL'!C12-DISTRIBUCION!C12</f>
        <v>-72055.033059038222</v>
      </c>
      <c r="D12" s="65">
        <f>+'DIST VER ACTUAL'!D12-DISTRIBUCION!D12</f>
        <v>-2162.9241238161922</v>
      </c>
      <c r="E12" s="65">
        <f>+'DIST VER ACTUAL'!E12-DISTRIBUCION!E12</f>
        <v>-450818.42134308093</v>
      </c>
      <c r="F12" s="65">
        <f>+'DIST VER ACTUAL'!F12-DISTRIBUCION!F12</f>
        <v>-242.33616084512323</v>
      </c>
      <c r="G12" s="65">
        <f>+'DIST VER ACTUAL'!G12-DISTRIBUCION!G12</f>
        <v>356531.81655822787</v>
      </c>
      <c r="H12" s="65">
        <f>+'DIST VER ACTUAL'!H12-DISTRIBUCION!H12</f>
        <v>-2646.8148303318303</v>
      </c>
      <c r="I12" s="65">
        <f>+'DIST VER ACTUAL'!I12-DISTRIBUCION!I12</f>
        <v>-125.66315054605366</v>
      </c>
      <c r="J12" s="65">
        <f>+'DIST VER ACTUAL'!J12-DISTRIBUCION!J12</f>
        <v>-1087.3981983467238</v>
      </c>
      <c r="K12" s="65">
        <f>+'DIST VER ACTUAL'!K12-DISTRIBUCION!K12</f>
        <v>-684.05284678619319</v>
      </c>
      <c r="L12" s="166">
        <f t="shared" si="0"/>
        <v>-173290.82715456339</v>
      </c>
    </row>
    <row r="13" spans="1:12">
      <c r="A13" s="85">
        <v>18</v>
      </c>
      <c r="B13" s="221" t="s">
        <v>6</v>
      </c>
      <c r="C13" s="65">
        <f>+'DIST VER ACTUAL'!C13-DISTRIBUCION!C13</f>
        <v>272524.52722128853</v>
      </c>
      <c r="D13" s="65">
        <f>+'DIST VER ACTUAL'!D13-DISTRIBUCION!D13</f>
        <v>44141.469973591389</v>
      </c>
      <c r="E13" s="65">
        <f>+'DIST VER ACTUAL'!E13-DISTRIBUCION!E13</f>
        <v>3897473.4611061588</v>
      </c>
      <c r="F13" s="65">
        <f>+'DIST VER ACTUAL'!F13-DISTRIBUCION!F13</f>
        <v>4946.6539438974578</v>
      </c>
      <c r="G13" s="65">
        <f>+'DIST VER ACTUAL'!G13-DISTRIBUCION!G13</f>
        <v>72063.81710127613</v>
      </c>
      <c r="H13" s="65">
        <f>+'DIST VER ACTUAL'!H13-DISTRIBUCION!H13</f>
        <v>54003.242130410916</v>
      </c>
      <c r="I13" s="65">
        <f>+'DIST VER ACTUAL'!I13-DISTRIBUCION!I13</f>
        <v>2563.8843149756722</v>
      </c>
      <c r="J13" s="65">
        <f>+'DIST VER ACTUAL'!J13-DISTRIBUCION!J13</f>
        <v>22186.425549020991</v>
      </c>
      <c r="K13" s="65">
        <f>+'DIST VER ACTUAL'!K13-DISTRIBUCION!K13</f>
        <v>112.95485150890454</v>
      </c>
      <c r="L13" s="166">
        <f t="shared" si="0"/>
        <v>4370016.4361921288</v>
      </c>
    </row>
    <row r="14" spans="1:12">
      <c r="A14" s="85">
        <v>19</v>
      </c>
      <c r="B14" s="221" t="s">
        <v>117</v>
      </c>
      <c r="C14" s="65">
        <f>+'DIST VER ACTUAL'!C14-DISTRIBUCION!C14</f>
        <v>25532.313074484468</v>
      </c>
      <c r="D14" s="65">
        <f>+'DIST VER ACTUAL'!D14-DISTRIBUCION!D14</f>
        <v>9957.2112695649266</v>
      </c>
      <c r="E14" s="65">
        <f>+'DIST VER ACTUAL'!E14-DISTRIBUCION!E14</f>
        <v>-44059.853242684156</v>
      </c>
      <c r="F14" s="65">
        <f>+'DIST VER ACTUAL'!F14-DISTRIBUCION!F14</f>
        <v>1116.972597590182</v>
      </c>
      <c r="G14" s="65">
        <f>+'DIST VER ACTUAL'!G14-DISTRIBUCION!G14</f>
        <v>236705.35672693886</v>
      </c>
      <c r="H14" s="65">
        <f>+'DIST VER ACTUAL'!H14-DISTRIBUCION!H14</f>
        <v>12166.508172575384</v>
      </c>
      <c r="I14" s="65">
        <f>+'DIST VER ACTUAL'!I14-DISTRIBUCION!I14</f>
        <v>577.66278007969959</v>
      </c>
      <c r="J14" s="65">
        <f>+'DIST VER ACTUAL'!J14-DISTRIBUCION!J14</f>
        <v>4998.615795893129</v>
      </c>
      <c r="K14" s="65">
        <f>+'DIST VER ACTUAL'!K14-DISTRIBUCION!K14</f>
        <v>-41787.874371266225</v>
      </c>
      <c r="L14" s="166">
        <f t="shared" si="0"/>
        <v>205206.91280317627</v>
      </c>
    </row>
    <row r="15" spans="1:12">
      <c r="A15" s="85">
        <v>20</v>
      </c>
      <c r="B15" s="221" t="s">
        <v>118</v>
      </c>
      <c r="C15" s="65">
        <f>+'DIST VER ACTUAL'!C15-DISTRIBUCION!C15</f>
        <v>39593.875233698636</v>
      </c>
      <c r="D15" s="65">
        <f>+'DIST VER ACTUAL'!D15-DISTRIBUCION!D15</f>
        <v>-7295.066057311371</v>
      </c>
      <c r="E15" s="65">
        <f>+'DIST VER ACTUAL'!E15-DISTRIBUCION!E15</f>
        <v>-869530.76292276429</v>
      </c>
      <c r="F15" s="65">
        <f>+'DIST VER ACTUAL'!F15-DISTRIBUCION!F15</f>
        <v>-816.66738059709314</v>
      </c>
      <c r="G15" s="65">
        <f>+'DIST VER ACTUAL'!G15-DISTRIBUCION!G15</f>
        <v>-531043.0515412055</v>
      </c>
      <c r="H15" s="65">
        <f>+'DIST VER ACTUAL'!H15-DISTRIBUCION!H15</f>
        <v>-8936.3696715470869</v>
      </c>
      <c r="I15" s="65">
        <f>+'DIST VER ACTUAL'!I15-DISTRIBUCION!I15</f>
        <v>-424.24502412995207</v>
      </c>
      <c r="J15" s="65">
        <f>+'DIST VER ACTUAL'!J15-DISTRIBUCION!J15</f>
        <v>-3671.2328453217633</v>
      </c>
      <c r="K15" s="65">
        <f>+'DIST VER ACTUAL'!K15-DISTRIBUCION!K15</f>
        <v>82895.737092182972</v>
      </c>
      <c r="L15" s="166">
        <f t="shared" si="0"/>
        <v>-1299227.7831169954</v>
      </c>
    </row>
    <row r="16" spans="1:12">
      <c r="A16" s="85">
        <v>23</v>
      </c>
      <c r="B16" s="221" t="s">
        <v>119</v>
      </c>
      <c r="C16" s="65">
        <f>+'DIST VER ACTUAL'!C16-DISTRIBUCION!C16</f>
        <v>-3178.5489017814398</v>
      </c>
      <c r="D16" s="65">
        <f>+'DIST VER ACTUAL'!D16-DISTRIBUCION!D16</f>
        <v>133.14233569893986</v>
      </c>
      <c r="E16" s="65">
        <f>+'DIST VER ACTUAL'!E16-DISTRIBUCION!E16</f>
        <v>-20506.788964751642</v>
      </c>
      <c r="F16" s="65">
        <f>+'DIST VER ACTUAL'!F16-DISTRIBUCION!F16</f>
        <v>14.964041976956651</v>
      </c>
      <c r="G16" s="65">
        <f>+'DIST VER ACTUAL'!G16-DISTRIBUCION!G16</f>
        <v>24755.528040200239</v>
      </c>
      <c r="H16" s="65">
        <f>+'DIST VER ACTUAL'!H16-DISTRIBUCION!H16</f>
        <v>162.2588442604756</v>
      </c>
      <c r="I16" s="65">
        <f>+'DIST VER ACTUAL'!I16-DISTRIBUCION!I16</f>
        <v>7.7066386905062245</v>
      </c>
      <c r="J16" s="65">
        <f>+'DIST VER ACTUAL'!J16-DISTRIBUCION!J16</f>
        <v>66.675003875687253</v>
      </c>
      <c r="K16" s="65">
        <f>+'DIST VER ACTUAL'!K16-DISTRIBUCION!K16</f>
        <v>232.82868412897369</v>
      </c>
      <c r="L16" s="166">
        <f t="shared" si="0"/>
        <v>1687.7657222986963</v>
      </c>
    </row>
    <row r="17" spans="1:12">
      <c r="A17" s="85">
        <v>21</v>
      </c>
      <c r="B17" s="221" t="s">
        <v>7</v>
      </c>
      <c r="C17" s="65">
        <f>+'DIST VER ACTUAL'!C17-DISTRIBUCION!C17</f>
        <v>-38865.327623084188</v>
      </c>
      <c r="D17" s="65">
        <f>+'DIST VER ACTUAL'!D17-DISTRIBUCION!D17</f>
        <v>-81.771964281797409</v>
      </c>
      <c r="E17" s="65">
        <f>+'DIST VER ACTUAL'!E17-DISTRIBUCION!E17</f>
        <v>-143895.08367390558</v>
      </c>
      <c r="F17" s="65">
        <f>+'DIST VER ACTUAL'!F17-DISTRIBUCION!F17</f>
        <v>-9.0909235356375575</v>
      </c>
      <c r="G17" s="65">
        <f>+'DIST VER ACTUAL'!G17-DISTRIBUCION!G17</f>
        <v>235161.73634773213</v>
      </c>
      <c r="H17" s="65">
        <f>+'DIST VER ACTUAL'!H17-DISTRIBUCION!H17</f>
        <v>-101.00122571410611</v>
      </c>
      <c r="I17" s="65">
        <f>+'DIST VER ACTUAL'!I17-DISTRIBUCION!I17</f>
        <v>-4.7952622786979191</v>
      </c>
      <c r="J17" s="65">
        <f>+'DIST VER ACTUAL'!J17-DISTRIBUCION!J17</f>
        <v>-41.479001786210574</v>
      </c>
      <c r="K17" s="65">
        <f>+'DIST VER ACTUAL'!K17-DISTRIBUCION!K17</f>
        <v>12151.879316463281</v>
      </c>
      <c r="L17" s="166">
        <f t="shared" si="0"/>
        <v>64315.065989609197</v>
      </c>
    </row>
    <row r="18" spans="1:12">
      <c r="A18" s="85">
        <v>22</v>
      </c>
      <c r="B18" s="221" t="s">
        <v>120</v>
      </c>
      <c r="C18" s="65">
        <f>+'DIST VER ACTUAL'!C18-DISTRIBUCION!C18</f>
        <v>-8702.6602798998356</v>
      </c>
      <c r="D18" s="65">
        <f>+'DIST VER ACTUAL'!D18-DISTRIBUCION!D18</f>
        <v>-8938.9554659351707</v>
      </c>
      <c r="E18" s="65">
        <f>+'DIST VER ACTUAL'!E18-DISTRIBUCION!E18</f>
        <v>-936024.75078507513</v>
      </c>
      <c r="F18" s="65">
        <f>+'DIST VER ACTUAL'!F18-DISTRIBUCION!F18</f>
        <v>-1000.3562039282406</v>
      </c>
      <c r="G18" s="65">
        <f>+'DIST VER ACTUAL'!G18-DISTRIBUCION!G18</f>
        <v>-299744.81307195639</v>
      </c>
      <c r="H18" s="65">
        <f>+'DIST VER ACTUAL'!H18-DISTRIBUCION!H18</f>
        <v>-10954.57545849937</v>
      </c>
      <c r="I18" s="65">
        <f>+'DIST VER ACTUAL'!I18-DISTRIBUCION!I18</f>
        <v>-520.04332317506487</v>
      </c>
      <c r="J18" s="65">
        <f>+'DIST VER ACTUAL'!J18-DISTRIBUCION!J18</f>
        <v>-4500.3015887043439</v>
      </c>
      <c r="K18" s="65">
        <f>+'DIST VER ACTUAL'!K18-DISTRIBUCION!K18</f>
        <v>1488356.1399401845</v>
      </c>
      <c r="L18" s="166">
        <f t="shared" si="0"/>
        <v>217969.68376301113</v>
      </c>
    </row>
    <row r="19" spans="1:12">
      <c r="A19" s="85">
        <v>25</v>
      </c>
      <c r="B19" s="221" t="s">
        <v>8</v>
      </c>
      <c r="C19" s="65">
        <f>+'DIST VER ACTUAL'!C19-DISTRIBUCION!C19</f>
        <v>-133880.09392905235</v>
      </c>
      <c r="D19" s="65">
        <f>+'DIST VER ACTUAL'!D19-DISTRIBUCION!D19</f>
        <v>-43.559757217764854</v>
      </c>
      <c r="E19" s="65">
        <f>+'DIST VER ACTUAL'!E19-DISTRIBUCION!E19</f>
        <v>-27465.159222588409</v>
      </c>
      <c r="F19" s="65">
        <f>+'DIST VER ACTUAL'!F19-DISTRIBUCION!F19</f>
        <v>-4.8679911363869905</v>
      </c>
      <c r="G19" s="65">
        <f>+'DIST VER ACTUAL'!G19-DISTRIBUCION!G19</f>
        <v>819475.46523989085</v>
      </c>
      <c r="H19" s="65">
        <f>+'DIST VER ACTUAL'!H19-DISTRIBUCION!H19</f>
        <v>-53.47838873649016</v>
      </c>
      <c r="I19" s="65">
        <f>+'DIST VER ACTUAL'!I19-DISTRIBUCION!I19</f>
        <v>-2.5354363372898661</v>
      </c>
      <c r="J19" s="65">
        <f>+'DIST VER ACTUAL'!J19-DISTRIBUCION!J19</f>
        <v>-21.965940946480259</v>
      </c>
      <c r="K19" s="65">
        <f>+'DIST VER ACTUAL'!K19-DISTRIBUCION!K19</f>
        <v>-513.60416465791513</v>
      </c>
      <c r="L19" s="166">
        <f t="shared" si="0"/>
        <v>657490.20040921774</v>
      </c>
    </row>
    <row r="20" spans="1:12">
      <c r="A20" s="85">
        <v>27</v>
      </c>
      <c r="B20" s="221" t="s">
        <v>9</v>
      </c>
      <c r="C20" s="65">
        <f>+'DIST VER ACTUAL'!C20-DISTRIBUCION!C20</f>
        <v>-15292.390364572406</v>
      </c>
      <c r="D20" s="65">
        <f>+'DIST VER ACTUAL'!D20-DISTRIBUCION!D20</f>
        <v>-25.086073681013659</v>
      </c>
      <c r="E20" s="65">
        <f>+'DIST VER ACTUAL'!E20-DISTRIBUCION!E20</f>
        <v>-40618.215039933566</v>
      </c>
      <c r="F20" s="65">
        <f>+'DIST VER ACTUAL'!F20-DISTRIBUCION!F20</f>
        <v>-2.8078603335889056</v>
      </c>
      <c r="G20" s="65">
        <f>+'DIST VER ACTUAL'!G20-DISTRIBUCION!G20</f>
        <v>92809.583064996288</v>
      </c>
      <c r="H20" s="65">
        <f>+'DIST VER ACTUAL'!H20-DISTRIBUCION!H20</f>
        <v>-30.757309838430956</v>
      </c>
      <c r="I20" s="65">
        <f>+'DIST VER ACTUAL'!I20-DISTRIBUCION!I20</f>
        <v>-1.4531520202945103</v>
      </c>
      <c r="J20" s="65">
        <f>+'DIST VER ACTUAL'!J20-DISTRIBUCION!J20</f>
        <v>-12.63767257136351</v>
      </c>
      <c r="K20" s="65">
        <f>+'DIST VER ACTUAL'!K20-DISTRIBUCION!K20</f>
        <v>-1124.9700688573191</v>
      </c>
      <c r="L20" s="166">
        <f t="shared" si="0"/>
        <v>35701.265523188304</v>
      </c>
    </row>
    <row r="21" spans="1:12">
      <c r="A21" s="85">
        <v>26</v>
      </c>
      <c r="B21" s="221" t="s">
        <v>121</v>
      </c>
      <c r="C21" s="65">
        <f>+'DIST VER ACTUAL'!C21-DISTRIBUCION!C21</f>
        <v>-9794.668310534209</v>
      </c>
      <c r="D21" s="65">
        <f>+'DIST VER ACTUAL'!D21-DISTRIBUCION!D21</f>
        <v>179.60705531970598</v>
      </c>
      <c r="E21" s="65">
        <f>+'DIST VER ACTUAL'!E21-DISTRIBUCION!E21</f>
        <v>-100656.40271506459</v>
      </c>
      <c r="F21" s="65">
        <f>+'DIST VER ACTUAL'!F21-DISTRIBUCION!F21</f>
        <v>23.132117053784896</v>
      </c>
      <c r="G21" s="65">
        <f>+'DIST VER ACTUAL'!G21-DISTRIBUCION!G21</f>
        <v>67134.849577355781</v>
      </c>
      <c r="H21" s="65">
        <f>+'DIST VER ACTUAL'!H21-DISTRIBUCION!H21</f>
        <v>179.126699646411</v>
      </c>
      <c r="I21" s="65">
        <f>+'DIST VER ACTUAL'!I21-DISTRIBUCION!I21</f>
        <v>8.599321915236942</v>
      </c>
      <c r="J21" s="65">
        <f>+'DIST VER ACTUAL'!J21-DISTRIBUCION!J21</f>
        <v>74.088705932445009</v>
      </c>
      <c r="K21" s="65">
        <f>+'DIST VER ACTUAL'!K21-DISTRIBUCION!K21</f>
        <v>5673.7038356655394</v>
      </c>
      <c r="L21" s="166">
        <f t="shared" si="0"/>
        <v>-37177.96371270989</v>
      </c>
    </row>
    <row r="22" spans="1:12">
      <c r="A22" s="85">
        <v>29</v>
      </c>
      <c r="B22" s="221" t="s">
        <v>10</v>
      </c>
      <c r="C22" s="65">
        <f>+'DIST VER ACTUAL'!C22-DISTRIBUCION!C22</f>
        <v>-83982.434505045414</v>
      </c>
      <c r="D22" s="65">
        <f>+'DIST VER ACTUAL'!D22-DISTRIBUCION!D22</f>
        <v>388.24192601628602</v>
      </c>
      <c r="E22" s="65">
        <f>+'DIST VER ACTUAL'!E22-DISTRIBUCION!E22</f>
        <v>146366.58464765828</v>
      </c>
      <c r="F22" s="65">
        <f>+'DIST VER ACTUAL'!F22-DISTRIBUCION!F22</f>
        <v>43.522567610256374</v>
      </c>
      <c r="G22" s="65">
        <f>+'DIST VER ACTUAL'!G22-DISTRIBUCION!G22</f>
        <v>530469.24844011758</v>
      </c>
      <c r="H22" s="65">
        <f>+'DIST VER ACTUAL'!H22-DISTRIBUCION!H22</f>
        <v>474.73354455921799</v>
      </c>
      <c r="I22" s="65">
        <f>+'DIST VER ACTUAL'!I22-DISTRIBUCION!I22</f>
        <v>22.54182897717692</v>
      </c>
      <c r="J22" s="65">
        <f>+'DIST VER ACTUAL'!J22-DISTRIBUCION!J22</f>
        <v>195.03378065000288</v>
      </c>
      <c r="K22" s="65">
        <f>+'DIST VER ACTUAL'!K22-DISTRIBUCION!K22</f>
        <v>8470.1404908147306</v>
      </c>
      <c r="L22" s="166">
        <f t="shared" si="0"/>
        <v>602447.61272135808</v>
      </c>
    </row>
    <row r="23" spans="1:12">
      <c r="A23" s="85">
        <v>30</v>
      </c>
      <c r="B23" s="221" t="s">
        <v>122</v>
      </c>
      <c r="C23" s="65">
        <f>+'DIST VER ACTUAL'!C23-DISTRIBUCION!C23</f>
        <v>-219139.63493466377</v>
      </c>
      <c r="D23" s="65">
        <f>+'DIST VER ACTUAL'!D23-DISTRIBUCION!D23</f>
        <v>-66674.871022708714</v>
      </c>
      <c r="E23" s="65">
        <f>+'DIST VER ACTUAL'!E23-DISTRIBUCION!E23</f>
        <v>-594249.46425324958</v>
      </c>
      <c r="F23" s="65">
        <f>+'DIST VER ACTUAL'!F23-DISTRIBUCION!F23</f>
        <v>-7467.2426328859292</v>
      </c>
      <c r="G23" s="65">
        <f>+'DIST VER ACTUAL'!G23-DISTRIBUCION!G23</f>
        <v>-1289692.3900504038</v>
      </c>
      <c r="H23" s="65">
        <f>+'DIST VER ACTUAL'!H23-DISTRIBUCION!H23</f>
        <v>-81632.896998451091</v>
      </c>
      <c r="I23" s="65">
        <f>+'DIST VER ACTUAL'!I23-DISTRIBUCION!I23</f>
        <v>-3875.5087938706856</v>
      </c>
      <c r="J23" s="65">
        <f>+'DIST VER ACTUAL'!J23-DISTRIBUCION!J23</f>
        <v>-33536.899501966313</v>
      </c>
      <c r="K23" s="65">
        <f>+'DIST VER ACTUAL'!K23-DISTRIBUCION!K23</f>
        <v>-352569.35677932948</v>
      </c>
      <c r="L23" s="166">
        <f t="shared" si="0"/>
        <v>-2648838.2649675291</v>
      </c>
    </row>
    <row r="24" spans="1:12">
      <c r="A24" s="85">
        <v>32</v>
      </c>
      <c r="B24" s="221" t="s">
        <v>11</v>
      </c>
      <c r="C24" s="65">
        <f>+'DIST VER ACTUAL'!C24-DISTRIBUCION!C24</f>
        <v>15373.604099180549</v>
      </c>
      <c r="D24" s="65">
        <f>+'DIST VER ACTUAL'!D24-DISTRIBUCION!D24</f>
        <v>2672.4220492169261</v>
      </c>
      <c r="E24" s="65">
        <f>+'DIST VER ACTUAL'!E24-DISTRIBUCION!E24</f>
        <v>-3219071.2963626878</v>
      </c>
      <c r="F24" s="65">
        <f>+'DIST VER ACTUAL'!F24-DISTRIBUCION!F24</f>
        <v>299.78699674026575</v>
      </c>
      <c r="G24" s="65">
        <f>+'DIST VER ACTUAL'!G24-DISTRIBUCION!G24</f>
        <v>11263.310552224983</v>
      </c>
      <c r="H24" s="65">
        <f>+'DIST VER ACTUAL'!H24-DISTRIBUCION!H24</f>
        <v>3265.366445567226</v>
      </c>
      <c r="I24" s="65">
        <f>+'DIST VER ACTUAL'!I24-DISTRIBUCION!I24</f>
        <v>155.04165680962615</v>
      </c>
      <c r="J24" s="65">
        <f>+'DIST VER ACTUAL'!J24-DISTRIBUCION!J24</f>
        <v>1341.5730536419142</v>
      </c>
      <c r="K24" s="65">
        <f>+'DIST VER ACTUAL'!K24-DISTRIBUCION!K24</f>
        <v>11856.113283108149</v>
      </c>
      <c r="L24" s="166">
        <f t="shared" si="0"/>
        <v>-3172844.078226198</v>
      </c>
    </row>
    <row r="25" spans="1:12">
      <c r="A25" s="85">
        <v>33</v>
      </c>
      <c r="B25" s="221" t="s">
        <v>12</v>
      </c>
      <c r="C25" s="65">
        <f>+'DIST VER ACTUAL'!C25-DISTRIBUCION!C25</f>
        <v>1699159.17218858</v>
      </c>
      <c r="D25" s="65">
        <f>+'DIST VER ACTUAL'!D25-DISTRIBUCION!D25</f>
        <v>249369.06574197114</v>
      </c>
      <c r="E25" s="65">
        <f>+'DIST VER ACTUAL'!E25-DISTRIBUCION!E25</f>
        <v>125144.27669838443</v>
      </c>
      <c r="F25" s="65">
        <f>+'DIST VER ACTUAL'!F25-DISTRIBUCION!F25</f>
        <v>27954.550830409862</v>
      </c>
      <c r="G25" s="65">
        <f>+'DIST VER ACTUAL'!G25-DISTRIBUCION!G25</f>
        <v>-571859.52238570899</v>
      </c>
      <c r="H25" s="65">
        <f>+'DIST VER ACTUAL'!H25-DISTRIBUCION!H25</f>
        <v>304954.62497619726</v>
      </c>
      <c r="I25" s="65">
        <f>+'DIST VER ACTUAL'!I25-DISTRIBUCION!I25</f>
        <v>14478.479572722921</v>
      </c>
      <c r="J25" s="65">
        <f>+'DIST VER ACTUAL'!J25-DISTRIBUCION!J25</f>
        <v>125287.59692704119</v>
      </c>
      <c r="K25" s="65">
        <f>+'DIST VER ACTUAL'!K25-DISTRIBUCION!K25</f>
        <v>-1298640.2234295662</v>
      </c>
      <c r="L25" s="166">
        <f t="shared" si="0"/>
        <v>675848.0211200316</v>
      </c>
    </row>
    <row r="26" spans="1:12">
      <c r="A26" s="85">
        <v>34</v>
      </c>
      <c r="B26" s="221" t="s">
        <v>123</v>
      </c>
      <c r="C26" s="65">
        <f>+'DIST VER ACTUAL'!C26-DISTRIBUCION!C26</f>
        <v>-21013.51522121951</v>
      </c>
      <c r="D26" s="65">
        <f>+'DIST VER ACTUAL'!D26-DISTRIBUCION!D26</f>
        <v>1039.1327825989574</v>
      </c>
      <c r="E26" s="65">
        <f>+'DIST VER ACTUAL'!E26-DISTRIBUCION!E26</f>
        <v>3721.1476923753507</v>
      </c>
      <c r="F26" s="65">
        <f>+'DIST VER ACTUAL'!F26-DISTRIBUCION!F26</f>
        <v>116.59625065443106</v>
      </c>
      <c r="G26" s="65">
        <f>+'DIST VER ACTUAL'!G26-DISTRIBUCION!G26</f>
        <v>169938.96616197331</v>
      </c>
      <c r="H26" s="65">
        <f>+'DIST VER ACTUAL'!H26-DISTRIBUCION!H26</f>
        <v>1269.2733121786732</v>
      </c>
      <c r="I26" s="65">
        <f>+'DIST VER ACTUAL'!I26-DISTRIBUCION!I26</f>
        <v>60.266408841504017</v>
      </c>
      <c r="J26" s="65">
        <f>+'DIST VER ACTUAL'!J26-DISTRIBUCION!J26</f>
        <v>521.48568655643612</v>
      </c>
      <c r="K26" s="65">
        <f>+'DIST VER ACTUAL'!K26-DISTRIBUCION!K26</f>
        <v>1713.4930126805848</v>
      </c>
      <c r="L26" s="166">
        <f t="shared" si="0"/>
        <v>157366.84608663974</v>
      </c>
    </row>
    <row r="27" spans="1:12">
      <c r="A27" s="85">
        <v>35</v>
      </c>
      <c r="B27" s="221" t="s">
        <v>13</v>
      </c>
      <c r="C27" s="65">
        <f>+'DIST VER ACTUAL'!C27-DISTRIBUCION!C27</f>
        <v>-2899.8271751543507</v>
      </c>
      <c r="D27" s="65">
        <f>+'DIST VER ACTUAL'!D27-DISTRIBUCION!D27</f>
        <v>-46.985885539790615</v>
      </c>
      <c r="E27" s="65">
        <f>+'DIST VER ACTUAL'!E27-DISTRIBUCION!E27</f>
        <v>-191462.08842480974</v>
      </c>
      <c r="F27" s="65">
        <f>+'DIST VER ACTUAL'!F27-DISTRIBUCION!F27</f>
        <v>-5.2497235109040048</v>
      </c>
      <c r="G27" s="65">
        <f>+'DIST VER ACTUAL'!G27-DISTRIBUCION!G27</f>
        <v>15930.924784184434</v>
      </c>
      <c r="H27" s="65">
        <f>+'DIST VER ACTUAL'!H27-DISTRIBUCION!H27</f>
        <v>-57.682554441533284</v>
      </c>
      <c r="I27" s="65">
        <f>+'DIST VER ACTUAL'!I27-DISTRIBUCION!I27</f>
        <v>-2.7325190529809333</v>
      </c>
      <c r="J27" s="65">
        <f>+'DIST VER ACTUAL'!J27-DISTRIBUCION!J27</f>
        <v>-23.692583228606964</v>
      </c>
      <c r="K27" s="65">
        <f>+'DIST VER ACTUAL'!K27-DISTRIBUCION!K27</f>
        <v>296.11297226639317</v>
      </c>
      <c r="L27" s="166">
        <f t="shared" si="0"/>
        <v>-178271.22110928709</v>
      </c>
    </row>
    <row r="28" spans="1:12">
      <c r="A28" s="85">
        <v>61</v>
      </c>
      <c r="B28" s="221" t="s">
        <v>14</v>
      </c>
      <c r="C28" s="65">
        <f>+'DIST VER ACTUAL'!C28-DISTRIBUCION!C28</f>
        <v>-27411.207964554429</v>
      </c>
      <c r="D28" s="65">
        <f>+'DIST VER ACTUAL'!D28-DISTRIBUCION!D28</f>
        <v>53.230005997698754</v>
      </c>
      <c r="E28" s="65">
        <f>+'DIST VER ACTUAL'!E28-DISTRIBUCION!E28</f>
        <v>-351349.13506539306</v>
      </c>
      <c r="F28" s="65">
        <f>+'DIST VER ACTUAL'!F28-DISTRIBUCION!F28</f>
        <v>5.9770119201857597</v>
      </c>
      <c r="G28" s="65">
        <f>+'DIST VER ACTUAL'!G28-DISTRIBUCION!G28</f>
        <v>170238.1674474373</v>
      </c>
      <c r="H28" s="65">
        <f>+'DIST VER ACTUAL'!H28-DISTRIBUCION!H28</f>
        <v>65.031844773562625</v>
      </c>
      <c r="I28" s="65">
        <f>+'DIST VER ACTUAL'!I28-DISTRIBUCION!I28</f>
        <v>3.0879249405406881</v>
      </c>
      <c r="J28" s="65">
        <f>+'DIST VER ACTUAL'!J28-DISTRIBUCION!J28</f>
        <v>26.715675282495795</v>
      </c>
      <c r="K28" s="65">
        <f>+'DIST VER ACTUAL'!K28-DISTRIBUCION!K28</f>
        <v>-1245.3369326598377</v>
      </c>
      <c r="L28" s="166">
        <f t="shared" si="0"/>
        <v>-209613.47005225555</v>
      </c>
    </row>
    <row r="29" spans="1:12">
      <c r="A29" s="85">
        <v>36</v>
      </c>
      <c r="B29" s="221" t="s">
        <v>15</v>
      </c>
      <c r="C29" s="65">
        <f>+'DIST VER ACTUAL'!C29-DISTRIBUCION!C29</f>
        <v>95350.680503234267</v>
      </c>
      <c r="D29" s="65">
        <f>+'DIST VER ACTUAL'!D29-DISTRIBUCION!D29</f>
        <v>8152.4430453907698</v>
      </c>
      <c r="E29" s="65">
        <f>+'DIST VER ACTUAL'!E29-DISTRIBUCION!E29</f>
        <v>82125.982083957642</v>
      </c>
      <c r="F29" s="65">
        <f>+'DIST VER ACTUAL'!F29-DISTRIBUCION!F29</f>
        <v>913.97867549629882</v>
      </c>
      <c r="G29" s="65">
        <f>+'DIST VER ACTUAL'!G29-DISTRIBUCION!G29</f>
        <v>-262830.19796473766</v>
      </c>
      <c r="H29" s="65">
        <f>+'DIST VER ACTUAL'!H29-DISTRIBUCION!H29</f>
        <v>9968.6555154123344</v>
      </c>
      <c r="I29" s="65">
        <f>+'DIST VER ACTUAL'!I29-DISTRIBUCION!I29</f>
        <v>473.28505791179487</v>
      </c>
      <c r="J29" s="65">
        <f>+'DIST VER ACTUAL'!J29-DISTRIBUCION!J29</f>
        <v>4095.5379925677553</v>
      </c>
      <c r="K29" s="65">
        <f>+'DIST VER ACTUAL'!K29-DISTRIBUCION!K29</f>
        <v>-256701.06764066289</v>
      </c>
      <c r="L29" s="166">
        <f t="shared" si="0"/>
        <v>-318450.70273142972</v>
      </c>
    </row>
    <row r="30" spans="1:12">
      <c r="A30" s="85">
        <v>28</v>
      </c>
      <c r="B30" s="221" t="s">
        <v>16</v>
      </c>
      <c r="C30" s="65">
        <f>+'DIST VER ACTUAL'!C30-DISTRIBUCION!C30</f>
        <v>-670862.64255613089</v>
      </c>
      <c r="D30" s="65">
        <f>+'DIST VER ACTUAL'!D30-DISTRIBUCION!D30</f>
        <v>-97514.251633778214</v>
      </c>
      <c r="E30" s="65">
        <f>+'DIST VER ACTUAL'!E30-DISTRIBUCION!E30</f>
        <v>-17228.511313777417</v>
      </c>
      <c r="F30" s="65">
        <f>+'DIST VER ACTUAL'!F30-DISTRIBUCION!F30</f>
        <v>-10911.719673000276</v>
      </c>
      <c r="G30" s="65">
        <f>+'DIST VER ACTUAL'!G30-DISTRIBUCION!G30</f>
        <v>262726.4929224737</v>
      </c>
      <c r="H30" s="65">
        <f>+'DIST VER ACTUAL'!H30-DISTRIBUCION!H30</f>
        <v>-119517.69802952372</v>
      </c>
      <c r="I30" s="65">
        <f>+'DIST VER ACTUAL'!I30-DISTRIBUCION!I30</f>
        <v>-5673.7899822220206</v>
      </c>
      <c r="J30" s="65">
        <f>+'DIST VER ACTUAL'!J30-DISTRIBUCION!J30</f>
        <v>-49099.405904078856</v>
      </c>
      <c r="K30" s="65">
        <f>+'DIST VER ACTUAL'!K30-DISTRIBUCION!K30</f>
        <v>174799.02303352021</v>
      </c>
      <c r="L30" s="166">
        <f t="shared" si="0"/>
        <v>-533282.50313651748</v>
      </c>
    </row>
    <row r="31" spans="1:12">
      <c r="A31" s="85">
        <v>37</v>
      </c>
      <c r="B31" s="221" t="s">
        <v>124</v>
      </c>
      <c r="C31" s="65">
        <f>+'DIST VER ACTUAL'!C31-DISTRIBUCION!C31</f>
        <v>-11031.441480375826</v>
      </c>
      <c r="D31" s="65">
        <f>+'DIST VER ACTUAL'!D31-DISTRIBUCION!D31</f>
        <v>185.41371759283356</v>
      </c>
      <c r="E31" s="65">
        <f>+'DIST VER ACTUAL'!E31-DISTRIBUCION!E31</f>
        <v>130208.73675916484</v>
      </c>
      <c r="F31" s="65">
        <f>+'DIST VER ACTUAL'!F31-DISTRIBUCION!F31</f>
        <v>20.786690455541248</v>
      </c>
      <c r="G31" s="65">
        <f>+'DIST VER ACTUAL'!G31-DISTRIBUCION!G31</f>
        <v>74988.805867326038</v>
      </c>
      <c r="H31" s="65">
        <f>+'DIST VER ACTUAL'!H31-DISTRIBUCION!H31</f>
        <v>226.74529476556927</v>
      </c>
      <c r="I31" s="65">
        <f>+'DIST VER ACTUAL'!I31-DISTRIBUCION!I31</f>
        <v>10.759336581890238</v>
      </c>
      <c r="J31" s="65">
        <f>+'DIST VER ACTUAL'!J31-DISTRIBUCION!J31</f>
        <v>93.156578464288032</v>
      </c>
      <c r="K31" s="65">
        <f>+'DIST VER ACTUAL'!K31-DISTRIBUCION!K31</f>
        <v>-335.80058545251632</v>
      </c>
      <c r="L31" s="166">
        <f t="shared" si="0"/>
        <v>194367.16217852265</v>
      </c>
    </row>
    <row r="32" spans="1:12">
      <c r="A32" s="85">
        <v>39</v>
      </c>
      <c r="B32" s="221" t="s">
        <v>17</v>
      </c>
      <c r="C32" s="65">
        <f>+'DIST VER ACTUAL'!C32-DISTRIBUCION!C32</f>
        <v>-18612.21726429835</v>
      </c>
      <c r="D32" s="65">
        <f>+'DIST VER ACTUAL'!D32-DISTRIBUCION!D32</f>
        <v>102.42205095011741</v>
      </c>
      <c r="E32" s="65">
        <f>+'DIST VER ACTUAL'!E32-DISTRIBUCION!E32</f>
        <v>14112.274371386971</v>
      </c>
      <c r="F32" s="65">
        <f>+'DIST VER ACTUAL'!F32-DISTRIBUCION!F32</f>
        <v>11.488582457241137</v>
      </c>
      <c r="G32" s="65">
        <f>+'DIST VER ACTUAL'!G32-DISTRIBUCION!G32</f>
        <v>118209.5403269087</v>
      </c>
      <c r="H32" s="65">
        <f>+'DIST VER ACTUAL'!H32-DISTRIBUCION!H32</f>
        <v>125.13146965129999</v>
      </c>
      <c r="I32" s="65">
        <f>+'DIST VER ACTUAL'!I32-DISTRIBUCION!I32</f>
        <v>5.944925603485899</v>
      </c>
      <c r="J32" s="65">
        <f>+'DIST VER ACTUAL'!J32-DISTRIBUCION!J32</f>
        <v>51.40620643645525</v>
      </c>
      <c r="K32" s="65">
        <f>+'DIST VER ACTUAL'!K32-DISTRIBUCION!K32</f>
        <v>-2415.4482246890129</v>
      </c>
      <c r="L32" s="166">
        <f t="shared" si="0"/>
        <v>111590.54244440691</v>
      </c>
    </row>
    <row r="33" spans="1:12">
      <c r="A33" s="85">
        <v>38</v>
      </c>
      <c r="B33" s="221" t="s">
        <v>18</v>
      </c>
      <c r="C33" s="65">
        <f>+'DIST VER ACTUAL'!C33-DISTRIBUCION!C33</f>
        <v>-10610.591697217897</v>
      </c>
      <c r="D33" s="65">
        <f>+'DIST VER ACTUAL'!D33-DISTRIBUCION!D33</f>
        <v>-419.69037281256169</v>
      </c>
      <c r="E33" s="65">
        <f>+'DIST VER ACTUAL'!E33-DISTRIBUCION!E33</f>
        <v>-230588.31819524383</v>
      </c>
      <c r="F33" s="65">
        <f>+'DIST VER ACTUAL'!F33-DISTRIBUCION!F33</f>
        <v>-47.017224710551091</v>
      </c>
      <c r="G33" s="65">
        <f>+'DIST VER ACTUAL'!G33-DISTRIBUCION!G33</f>
        <v>48504.613953209599</v>
      </c>
      <c r="H33" s="65">
        <f>+'DIST VER ACTUAL'!H33-DISTRIBUCION!H33</f>
        <v>-513.72115368844243</v>
      </c>
      <c r="I33" s="65">
        <f>+'DIST VER ACTUAL'!I33-DISTRIBUCION!I33</f>
        <v>-24.383905872622563</v>
      </c>
      <c r="J33" s="65">
        <f>+'DIST VER ACTUAL'!J33-DISTRIBUCION!J33</f>
        <v>-211.04989086171554</v>
      </c>
      <c r="K33" s="65">
        <f>+'DIST VER ACTUAL'!K33-DISTRIBUCION!K33</f>
        <v>10619.205832308871</v>
      </c>
      <c r="L33" s="166">
        <f t="shared" si="0"/>
        <v>-183290.95265488914</v>
      </c>
    </row>
    <row r="34" spans="1:12">
      <c r="A34" s="85">
        <v>40</v>
      </c>
      <c r="B34" s="221" t="s">
        <v>19</v>
      </c>
      <c r="C34" s="65">
        <f>+'DIST VER ACTUAL'!C34-DISTRIBUCION!C34</f>
        <v>-13567.967671083286</v>
      </c>
      <c r="D34" s="65">
        <f>+'DIST VER ACTUAL'!D34-DISTRIBUCION!D34</f>
        <v>60.797431719722226</v>
      </c>
      <c r="E34" s="65">
        <f>+'DIST VER ACTUAL'!E34-DISTRIBUCION!E34</f>
        <v>-97086.125017705373</v>
      </c>
      <c r="F34" s="65">
        <f>+'DIST VER ACTUAL'!F34-DISTRIBUCION!F34</f>
        <v>6.8358927642111667</v>
      </c>
      <c r="G34" s="65">
        <f>+'DIST VER ACTUAL'!G34-DISTRIBUCION!G34</f>
        <v>85624.899013088434</v>
      </c>
      <c r="H34" s="65">
        <f>+'DIST VER ACTUAL'!H34-DISTRIBUCION!H34</f>
        <v>74.046398963721003</v>
      </c>
      <c r="I34" s="65">
        <f>+'DIST VER ACTUAL'!I34-DISTRIBUCION!I34</f>
        <v>3.5145357031797175</v>
      </c>
      <c r="J34" s="65">
        <f>+'DIST VER ACTUAL'!J34-DISTRIBUCION!J34</f>
        <v>30.423145876295166</v>
      </c>
      <c r="K34" s="65">
        <f>+'DIST VER ACTUAL'!K34-DISTRIBUCION!K34</f>
        <v>-5619.5494013512216</v>
      </c>
      <c r="L34" s="166">
        <f t="shared" si="0"/>
        <v>-30473.125672024318</v>
      </c>
    </row>
    <row r="35" spans="1:12">
      <c r="A35" s="85">
        <v>41</v>
      </c>
      <c r="B35" s="221" t="s">
        <v>20</v>
      </c>
      <c r="C35" s="65">
        <f>+'DIST VER ACTUAL'!C35-DISTRIBUCION!C35</f>
        <v>-11692.707945279777</v>
      </c>
      <c r="D35" s="65">
        <f>+'DIST VER ACTUAL'!D35-DISTRIBUCION!D35</f>
        <v>13.901188279036433</v>
      </c>
      <c r="E35" s="65">
        <f>+'DIST VER ACTUAL'!E35-DISTRIBUCION!E35</f>
        <v>-11387.863764513284</v>
      </c>
      <c r="F35" s="65">
        <f>+'DIST VER ACTUAL'!F35-DISTRIBUCION!F35</f>
        <v>1.556030050618574</v>
      </c>
      <c r="G35" s="65">
        <f>+'DIST VER ACTUAL'!G35-DISTRIBUCION!G35</f>
        <v>72270.046372331562</v>
      </c>
      <c r="H35" s="65">
        <f>+'DIST VER ACTUAL'!H35-DISTRIBUCION!H35</f>
        <v>16.956761372799519</v>
      </c>
      <c r="I35" s="65">
        <f>+'DIST VER ACTUAL'!I35-DISTRIBUCION!I35</f>
        <v>0.80371014170668786</v>
      </c>
      <c r="J35" s="65">
        <f>+'DIST VER ACTUAL'!J35-DISTRIBUCION!J35</f>
        <v>6.9724368102906737</v>
      </c>
      <c r="K35" s="65">
        <f>+'DIST VER ACTUAL'!K35-DISTRIBUCION!K35</f>
        <v>-4.643763645394074</v>
      </c>
      <c r="L35" s="166">
        <f t="shared" si="0"/>
        <v>49225.021025547561</v>
      </c>
    </row>
    <row r="36" spans="1:12">
      <c r="A36" s="85">
        <v>42</v>
      </c>
      <c r="B36" s="221" t="s">
        <v>125</v>
      </c>
      <c r="C36" s="65">
        <f>+'DIST VER ACTUAL'!C36-DISTRIBUCION!C36</f>
        <v>633347.85667422414</v>
      </c>
      <c r="D36" s="65">
        <f>+'DIST VER ACTUAL'!D36-DISTRIBUCION!D36</f>
        <v>66156.295782782137</v>
      </c>
      <c r="E36" s="65">
        <f>+'DIST VER ACTUAL'!E36-DISTRIBUCION!E36</f>
        <v>205743.26547942497</v>
      </c>
      <c r="F36" s="65">
        <f>+'DIST VER ACTUAL'!F36-DISTRIBUCION!F36</f>
        <v>7251.7312245825306</v>
      </c>
      <c r="G36" s="65">
        <f>+'DIST VER ACTUAL'!G36-DISTRIBUCION!G36</f>
        <v>-1269433.9797809143</v>
      </c>
      <c r="H36" s="65">
        <f>+'DIST VER ACTUAL'!H36-DISTRIBUCION!H36</f>
        <v>83128.423956344835</v>
      </c>
      <c r="I36" s="65">
        <f>+'DIST VER ACTUAL'!I36-DISTRIBUCION!I36</f>
        <v>3941.6183003068436</v>
      </c>
      <c r="J36" s="65">
        <f>+'DIST VER ACTUAL'!J36-DISTRIBUCION!J36</f>
        <v>34125.356894690543</v>
      </c>
      <c r="K36" s="65">
        <f>+'DIST VER ACTUAL'!K36-DISTRIBUCION!K36</f>
        <v>193875.72839603759</v>
      </c>
      <c r="L36" s="166">
        <f t="shared" si="0"/>
        <v>-41863.703072520671</v>
      </c>
    </row>
    <row r="37" spans="1:12">
      <c r="A37" s="85">
        <v>43</v>
      </c>
      <c r="B37" s="221" t="s">
        <v>21</v>
      </c>
      <c r="C37" s="65">
        <f>+'DIST VER ACTUAL'!C37-DISTRIBUCION!C37</f>
        <v>32737.609878838062</v>
      </c>
      <c r="D37" s="65">
        <f>+'DIST VER ACTUAL'!D37-DISTRIBUCION!D37</f>
        <v>5944.1680817655288</v>
      </c>
      <c r="E37" s="65">
        <f>+'DIST VER ACTUAL'!E37-DISTRIBUCION!E37</f>
        <v>-782342.18369773589</v>
      </c>
      <c r="F37" s="65">
        <f>+'DIST VER ACTUAL'!F37-DISTRIBUCION!F37</f>
        <v>666.50328292581253</v>
      </c>
      <c r="G37" s="65">
        <f>+'DIST VER ACTUAL'!G37-DISTRIBUCION!G37</f>
        <v>33995.739297641441</v>
      </c>
      <c r="H37" s="65">
        <f>+'DIST VER ACTUAL'!H37-DISTRIBUCION!H37</f>
        <v>7267.1397060434101</v>
      </c>
      <c r="I37" s="65">
        <f>+'DIST VER ACTUAL'!I37-DISTRIBUCION!I37</f>
        <v>345.03147163811082</v>
      </c>
      <c r="J37" s="65">
        <f>+'DIST VER ACTUAL'!J37-DISTRIBUCION!J37</f>
        <v>2985.6526897750446</v>
      </c>
      <c r="K37" s="65">
        <f>+'DIST VER ACTUAL'!K37-DISTRIBUCION!K37</f>
        <v>10628.348474618157</v>
      </c>
      <c r="L37" s="166">
        <f t="shared" si="0"/>
        <v>-687771.99081449036</v>
      </c>
    </row>
    <row r="38" spans="1:12">
      <c r="A38" s="85">
        <v>44</v>
      </c>
      <c r="B38" s="221" t="s">
        <v>22</v>
      </c>
      <c r="C38" s="65">
        <f>+'DIST VER ACTUAL'!C38-DISTRIBUCION!C38</f>
        <v>-73490.039985850453</v>
      </c>
      <c r="D38" s="65">
        <f>+'DIST VER ACTUAL'!D38-DISTRIBUCION!D38</f>
        <v>711.45864008925855</v>
      </c>
      <c r="E38" s="65">
        <f>+'DIST VER ACTUAL'!E38-DISTRIBUCION!E38</f>
        <v>-74467.169235136826</v>
      </c>
      <c r="F38" s="65">
        <f>+'DIST VER ACTUAL'!F38-DISTRIBUCION!F38</f>
        <v>80.085500377230346</v>
      </c>
      <c r="G38" s="65">
        <f>+'DIST VER ACTUAL'!G38-DISTRIBUCION!G38</f>
        <v>478873.93315881677</v>
      </c>
      <c r="H38" s="65">
        <f>+'DIST VER ACTUAL'!H38-DISTRIBUCION!H38</f>
        <v>865.5193876796402</v>
      </c>
      <c r="I38" s="65">
        <f>+'DIST VER ACTUAL'!I38-DISTRIBUCION!I38</f>
        <v>41.104033321258612</v>
      </c>
      <c r="J38" s="65">
        <f>+'DIST VER ACTUAL'!J38-DISTRIBUCION!J38</f>
        <v>355.65150161879137</v>
      </c>
      <c r="K38" s="65">
        <f>+'DIST VER ACTUAL'!K38-DISTRIBUCION!K38</f>
        <v>30703.783310952131</v>
      </c>
      <c r="L38" s="166">
        <f t="shared" si="0"/>
        <v>363674.3263118678</v>
      </c>
    </row>
    <row r="39" spans="1:12">
      <c r="A39" s="85">
        <v>46</v>
      </c>
      <c r="B39" s="221" t="s">
        <v>126</v>
      </c>
      <c r="C39" s="65">
        <f>+'DIST VER ACTUAL'!C39-DISTRIBUCION!C39</f>
        <v>-3737.9766720458865</v>
      </c>
      <c r="D39" s="65">
        <f>+'DIST VER ACTUAL'!D39-DISTRIBUCION!D39</f>
        <v>2518.0930324317887</v>
      </c>
      <c r="E39" s="65">
        <f>+'DIST VER ACTUAL'!E39-DISTRIBUCION!E39</f>
        <v>52419.013558993116</v>
      </c>
      <c r="F39" s="65">
        <f>+'DIST VER ACTUAL'!F39-DISTRIBUCION!F39</f>
        <v>282.24856616812758</v>
      </c>
      <c r="G39" s="65">
        <f>+'DIST VER ACTUAL'!G39-DISTRIBUCION!G39</f>
        <v>122397.18774727185</v>
      </c>
      <c r="H39" s="65">
        <f>+'DIST VER ACTUAL'!H39-DISTRIBUCION!H39</f>
        <v>3079.8924667437095</v>
      </c>
      <c r="I39" s="65">
        <f>+'DIST VER ACTUAL'!I39-DISTRIBUCION!I39</f>
        <v>146.22081800609885</v>
      </c>
      <c r="J39" s="65">
        <f>+'DIST VER ACTUAL'!J39-DISTRIBUCION!J39</f>
        <v>1265.34090909714</v>
      </c>
      <c r="K39" s="65">
        <f>+'DIST VER ACTUAL'!K39-DISTRIBUCION!K39</f>
        <v>-33039.878489650844</v>
      </c>
      <c r="L39" s="166">
        <f t="shared" si="0"/>
        <v>145330.14193701508</v>
      </c>
    </row>
    <row r="40" spans="1:12">
      <c r="A40" s="85">
        <v>49</v>
      </c>
      <c r="B40" s="221" t="s">
        <v>23</v>
      </c>
      <c r="C40" s="65">
        <f>+'DIST VER ACTUAL'!C40-DISTRIBUCION!C40</f>
        <v>-33591.032368514687</v>
      </c>
      <c r="D40" s="65">
        <f>+'DIST VER ACTUAL'!D40-DISTRIBUCION!D40</f>
        <v>163.3649031855166</v>
      </c>
      <c r="E40" s="65">
        <f>+'DIST VER ACTUAL'!E40-DISTRIBUCION!E40</f>
        <v>38469.839330521412</v>
      </c>
      <c r="F40" s="65">
        <f>+'DIST VER ACTUAL'!F40-DISTRIBUCION!F40</f>
        <v>18.321887816244271</v>
      </c>
      <c r="G40" s="65">
        <f>+'DIST VER ACTUAL'!G40-DISTRIBUCION!G40</f>
        <v>212494.41969822207</v>
      </c>
      <c r="H40" s="65">
        <f>+'DIST VER ACTUAL'!H40-DISTRIBUCION!H40</f>
        <v>199.70796879188856</v>
      </c>
      <c r="I40" s="65">
        <f>+'DIST VER ACTUAL'!I40-DISTRIBUCION!I40</f>
        <v>9.4858373973547714</v>
      </c>
      <c r="J40" s="65">
        <f>+'DIST VER ACTUAL'!J40-DISTRIBUCION!J40</f>
        <v>82.049419675706304</v>
      </c>
      <c r="K40" s="65">
        <f>+'DIST VER ACTUAL'!K40-DISTRIBUCION!K40</f>
        <v>-189.56530064226672</v>
      </c>
      <c r="L40" s="166">
        <f t="shared" si="0"/>
        <v>217656.59137645323</v>
      </c>
    </row>
    <row r="41" spans="1:12">
      <c r="A41" s="85">
        <v>48</v>
      </c>
      <c r="B41" s="221" t="s">
        <v>24</v>
      </c>
      <c r="C41" s="65">
        <f>+'DIST VER ACTUAL'!C41-DISTRIBUCION!C41</f>
        <v>-12362.208988174796</v>
      </c>
      <c r="D41" s="65">
        <f>+'DIST VER ACTUAL'!D41-DISTRIBUCION!D41</f>
        <v>-5.6286247600801289</v>
      </c>
      <c r="E41" s="65">
        <f>+'DIST VER ACTUAL'!E41-DISTRIBUCION!E41</f>
        <v>-58592.388475550921</v>
      </c>
      <c r="F41" s="65">
        <f>+'DIST VER ACTUAL'!F41-DISTRIBUCION!F41</f>
        <v>-0.63291470042895526</v>
      </c>
      <c r="G41" s="65">
        <f>+'DIST VER ACTUAL'!G41-DISTRIBUCION!G41</f>
        <v>75604.845717048971</v>
      </c>
      <c r="H41" s="65">
        <f>+'DIST VER ACTUAL'!H41-DISTRIBUCION!H41</f>
        <v>-6.8851514200214297</v>
      </c>
      <c r="I41" s="65">
        <f>+'DIST VER ACTUAL'!I41-DISTRIBUCION!I41</f>
        <v>-0.33331539812206756</v>
      </c>
      <c r="J41" s="65">
        <f>+'DIST VER ACTUAL'!J41-DISTRIBUCION!J41</f>
        <v>-2.8253564908518456</v>
      </c>
      <c r="K41" s="65">
        <f>+'DIST VER ACTUAL'!K41-DISTRIBUCION!K41</f>
        <v>-41.33460248104646</v>
      </c>
      <c r="L41" s="166">
        <f t="shared" si="0"/>
        <v>4592.6082880727035</v>
      </c>
    </row>
    <row r="42" spans="1:12">
      <c r="A42" s="85">
        <v>47</v>
      </c>
      <c r="B42" s="221" t="s">
        <v>25</v>
      </c>
      <c r="C42" s="65">
        <f>+'DIST VER ACTUAL'!C42-DISTRIBUCION!C42</f>
        <v>-15551.368102248758</v>
      </c>
      <c r="D42" s="65">
        <f>+'DIST VER ACTUAL'!D42-DISTRIBUCION!D42</f>
        <v>561.35977083910257</v>
      </c>
      <c r="E42" s="65">
        <f>+'DIST VER ACTUAL'!E42-DISTRIBUCION!E42</f>
        <v>-26627.91792046139</v>
      </c>
      <c r="F42" s="65">
        <f>+'DIST VER ACTUAL'!F42-DISTRIBUCION!F42</f>
        <v>62.928941332385875</v>
      </c>
      <c r="G42" s="65">
        <f>+'DIST VER ACTUAL'!G42-DISTRIBUCION!G42</f>
        <v>117564.20741680986</v>
      </c>
      <c r="H42" s="65">
        <f>+'DIST VER ACTUAL'!H42-DISTRIBUCION!H42</f>
        <v>686.53302622691263</v>
      </c>
      <c r="I42" s="65">
        <f>+'DIST VER ACTUAL'!I42-DISTRIBUCION!I42</f>
        <v>32.591905199049506</v>
      </c>
      <c r="J42" s="65">
        <f>+'DIST VER ACTUAL'!J42-DISTRIBUCION!J42</f>
        <v>282.04708261252381</v>
      </c>
      <c r="K42" s="65">
        <f>+'DIST VER ACTUAL'!K42-DISTRIBUCION!K42</f>
        <v>19724.233794504049</v>
      </c>
      <c r="L42" s="166">
        <f>SUM(C42:K42)</f>
        <v>96734.615914813738</v>
      </c>
    </row>
    <row r="43" spans="1:12">
      <c r="A43" s="85">
        <v>45</v>
      </c>
      <c r="B43" s="221" t="s">
        <v>26</v>
      </c>
      <c r="C43" s="65">
        <f>+'DIST VER ACTUAL'!C43-DISTRIBUCION!C43</f>
        <v>54533.988722547889</v>
      </c>
      <c r="D43" s="65">
        <f>+'DIST VER ACTUAL'!D43-DISTRIBUCION!D43</f>
        <v>16087.517704602331</v>
      </c>
      <c r="E43" s="65">
        <f>+'DIST VER ACTUAL'!E43-DISTRIBUCION!E43</f>
        <v>-225881.74795020046</v>
      </c>
      <c r="F43" s="65">
        <f>+'DIST VER ACTUAL'!F43-DISTRIBUCION!F43</f>
        <v>1836.6679560269695</v>
      </c>
      <c r="G43" s="65">
        <f>+'DIST VER ACTUAL'!G43-DISTRIBUCION!G43</f>
        <v>300550.98167678434</v>
      </c>
      <c r="H43" s="65">
        <f>+'DIST VER ACTUAL'!H43-DISTRIBUCION!H43</f>
        <v>19223.77697479073</v>
      </c>
      <c r="I43" s="65">
        <f>+'DIST VER ACTUAL'!I43-DISTRIBUCION!I43</f>
        <v>913.73528306919616</v>
      </c>
      <c r="J43" s="65">
        <f>+'DIST VER ACTUAL'!J43-DISTRIBUCION!J43</f>
        <v>7903.3791444983799</v>
      </c>
      <c r="K43" s="65">
        <f>+'DIST VER ACTUAL'!K43-DISTRIBUCION!K43</f>
        <v>-191303.57464374136</v>
      </c>
      <c r="L43" s="166">
        <f t="shared" si="0"/>
        <v>-16135.27513162198</v>
      </c>
    </row>
    <row r="44" spans="1:12">
      <c r="A44" s="85">
        <v>70</v>
      </c>
      <c r="B44" s="221" t="s">
        <v>27</v>
      </c>
      <c r="C44" s="65">
        <f>+'DIST VER ACTUAL'!C44-DISTRIBUCION!C44</f>
        <v>-3205326.7005178928</v>
      </c>
      <c r="D44" s="65">
        <f>+'DIST VER ACTUAL'!D44-DISTRIBUCION!D44</f>
        <v>-508702.49329108</v>
      </c>
      <c r="E44" s="65">
        <f>+'DIST VER ACTUAL'!E44-DISTRIBUCION!E44</f>
        <v>0</v>
      </c>
      <c r="F44" s="65">
        <f>+'DIST VER ACTUAL'!F44-DISTRIBUCION!F44</f>
        <v>-56918.448859095573</v>
      </c>
      <c r="G44" s="65">
        <f>+'DIST VER ACTUAL'!G44-DISTRIBUCION!G44</f>
        <v>-435057.98916590214</v>
      </c>
      <c r="H44" s="65">
        <f>+'DIST VER ACTUAL'!H44-DISTRIBUCION!H44</f>
        <v>-623551.64881262183</v>
      </c>
      <c r="I44" s="65">
        <f>+'DIST VER ACTUAL'!I44-DISTRIBUCION!I44</f>
        <v>-29601.318167210557</v>
      </c>
      <c r="J44" s="65">
        <f>+'DIST VER ACTUAL'!J44-DISTRIBUCION!J44</f>
        <v>-256162.28060994297</v>
      </c>
      <c r="K44" s="65">
        <f>+'DIST VER ACTUAL'!K44-DISTRIBUCION!K44</f>
        <v>1314522.2845600694</v>
      </c>
      <c r="L44" s="166">
        <f t="shared" si="0"/>
        <v>-3800798.5948636765</v>
      </c>
    </row>
    <row r="45" spans="1:12">
      <c r="A45" s="85">
        <v>50</v>
      </c>
      <c r="B45" s="221" t="s">
        <v>127</v>
      </c>
      <c r="C45" s="65">
        <f>+'DIST VER ACTUAL'!C45-DISTRIBUCION!C45</f>
        <v>8816.1005607042462</v>
      </c>
      <c r="D45" s="65">
        <f>+'DIST VER ACTUAL'!D45-DISTRIBUCION!D45</f>
        <v>724.16684842039831</v>
      </c>
      <c r="E45" s="65">
        <f>+'DIST VER ACTUAL'!E45-DISTRIBUCION!E45</f>
        <v>385867.89827513974</v>
      </c>
      <c r="F45" s="65">
        <f>+'DIST VER ACTUAL'!F45-DISTRIBUCION!F45</f>
        <v>81.162574141810182</v>
      </c>
      <c r="G45" s="65">
        <f>+'DIST VER ACTUAL'!G45-DISTRIBUCION!G45</f>
        <v>-25470.44866578863</v>
      </c>
      <c r="H45" s="65">
        <f>+'DIST VER ACTUAL'!H45-DISTRIBUCION!H45</f>
        <v>885.80457610695157</v>
      </c>
      <c r="I45" s="65">
        <f>+'DIST VER ACTUAL'!I45-DISTRIBUCION!I45</f>
        <v>42.054331872692273</v>
      </c>
      <c r="J45" s="65">
        <f>+'DIST VER ACTUAL'!J45-DISTRIBUCION!J45</f>
        <v>363.91713582303782</v>
      </c>
      <c r="K45" s="65">
        <f>+'DIST VER ACTUAL'!K45-DISTRIBUCION!K45</f>
        <v>6107.773600671153</v>
      </c>
      <c r="L45" s="166">
        <f t="shared" ref="L45:L56" si="1">SUM(C45:K45)</f>
        <v>377418.42923709139</v>
      </c>
    </row>
    <row r="46" spans="1:12">
      <c r="A46" s="85">
        <v>51</v>
      </c>
      <c r="B46" s="221" t="s">
        <v>128</v>
      </c>
      <c r="C46" s="65">
        <f>+'DIST VER ACTUAL'!C46-DISTRIBUCION!C46</f>
        <v>97423.863019056618</v>
      </c>
      <c r="D46" s="65">
        <f>+'DIST VER ACTUAL'!D46-DISTRIBUCION!D46</f>
        <v>959.7092814669013</v>
      </c>
      <c r="E46" s="65">
        <f>+'DIST VER ACTUAL'!E46-DISTRIBUCION!E46</f>
        <v>-569439.82247635955</v>
      </c>
      <c r="F46" s="65">
        <f>+'DIST VER ACTUAL'!F46-DISTRIBUCION!F46</f>
        <v>108.78659715992399</v>
      </c>
      <c r="G46" s="65">
        <f>+'DIST VER ACTUAL'!G46-DISTRIBUCION!G46</f>
        <v>-559685.61214269372</v>
      </c>
      <c r="H46" s="65">
        <f>+'DIST VER ACTUAL'!H46-DISTRIBUCION!H46</f>
        <v>1157.3560592012946</v>
      </c>
      <c r="I46" s="65">
        <f>+'DIST VER ACTUAL'!I46-DISTRIBUCION!I46</f>
        <v>54.984653433755739</v>
      </c>
      <c r="J46" s="65">
        <f>+'DIST VER ACTUAL'!J46-DISTRIBUCION!J46</f>
        <v>475.68424763483927</v>
      </c>
      <c r="K46" s="65">
        <f>+'DIST VER ACTUAL'!K46-DISTRIBUCION!K46</f>
        <v>71341.208487360738</v>
      </c>
      <c r="L46" s="166">
        <f t="shared" si="1"/>
        <v>-957603.84227373917</v>
      </c>
    </row>
    <row r="47" spans="1:12">
      <c r="A47" s="85">
        <v>52</v>
      </c>
      <c r="B47" s="221" t="s">
        <v>129</v>
      </c>
      <c r="C47" s="65">
        <f>+'DIST VER ACTUAL'!C47-DISTRIBUCION!C47</f>
        <v>3060.348197190091</v>
      </c>
      <c r="D47" s="65">
        <f>+'DIST VER ACTUAL'!D47-DISTRIBUCION!D47</f>
        <v>1861.9756448601838</v>
      </c>
      <c r="E47" s="65">
        <f>+'DIST VER ACTUAL'!E47-DISTRIBUCION!E47</f>
        <v>96641.508323636372</v>
      </c>
      <c r="F47" s="65">
        <f>+'DIST VER ACTUAL'!F47-DISTRIBUCION!F47</f>
        <v>288.35337591066491</v>
      </c>
      <c r="G47" s="65">
        <f>+'DIST VER ACTUAL'!G47-DISTRIBUCION!G47</f>
        <v>53749.057694745134</v>
      </c>
      <c r="H47" s="65">
        <f>+'DIST VER ACTUAL'!H47-DISTRIBUCION!H47</f>
        <v>1199.5818249753793</v>
      </c>
      <c r="I47" s="65">
        <f>+'DIST VER ACTUAL'!I47-DISTRIBUCION!I47</f>
        <v>59.430821078858571</v>
      </c>
      <c r="J47" s="65">
        <f>+'DIST VER ACTUAL'!J47-DISTRIBUCION!J47</f>
        <v>505.97817680650041</v>
      </c>
      <c r="K47" s="65">
        <f>+'DIST VER ACTUAL'!K47-DISTRIBUCION!K47</f>
        <v>3381.4663673090181</v>
      </c>
      <c r="L47" s="166">
        <f t="shared" si="1"/>
        <v>160747.70042651219</v>
      </c>
    </row>
    <row r="48" spans="1:12">
      <c r="A48" s="85">
        <v>53</v>
      </c>
      <c r="B48" s="221" t="s">
        <v>28</v>
      </c>
      <c r="C48" s="65">
        <f>+'DIST VER ACTUAL'!C48-DISTRIBUCION!C48</f>
        <v>-14378.127339325845</v>
      </c>
      <c r="D48" s="65">
        <f>+'DIST VER ACTUAL'!D48-DISTRIBUCION!D48</f>
        <v>-23.431028664112091</v>
      </c>
      <c r="E48" s="65">
        <f>+'DIST VER ACTUAL'!E48-DISTRIBUCION!E48</f>
        <v>-100286.99544608104</v>
      </c>
      <c r="F48" s="65">
        <f>+'DIST VER ACTUAL'!F48-DISTRIBUCION!F48</f>
        <v>-2.6153006973909214</v>
      </c>
      <c r="G48" s="65">
        <f>+'DIST VER ACTUAL'!G48-DISTRIBUCION!G48</f>
        <v>87267.19071082829</v>
      </c>
      <c r="H48" s="65">
        <f>+'DIST VER ACTUAL'!H48-DISTRIBUCION!H48</f>
        <v>-28.775935703422874</v>
      </c>
      <c r="I48" s="65">
        <f>+'DIST VER ACTUAL'!I48-DISTRIBUCION!I48</f>
        <v>-1.3629648124333471</v>
      </c>
      <c r="J48" s="65">
        <f>+'DIST VER ACTUAL'!J48-DISTRIBUCION!J48</f>
        <v>-11.82370590858045</v>
      </c>
      <c r="K48" s="65">
        <f>+'DIST VER ACTUAL'!K48-DISTRIBUCION!K48</f>
        <v>-142.87622157530222</v>
      </c>
      <c r="L48" s="166">
        <f t="shared" si="1"/>
        <v>-27608.817231939836</v>
      </c>
    </row>
    <row r="49" spans="1:12">
      <c r="A49" s="85">
        <v>54</v>
      </c>
      <c r="B49" s="221" t="s">
        <v>29</v>
      </c>
      <c r="C49" s="65">
        <f>+'DIST VER ACTUAL'!C49-DISTRIBUCION!C49</f>
        <v>-22522.181194230914</v>
      </c>
      <c r="D49" s="65">
        <f>+'DIST VER ACTUAL'!D49-DISTRIBUCION!D49</f>
        <v>3792.1610435377806</v>
      </c>
      <c r="E49" s="65">
        <f>+'DIST VER ACTUAL'!E49-DISTRIBUCION!E49</f>
        <v>-26562.40737203788</v>
      </c>
      <c r="F49" s="65">
        <f>+'DIST VER ACTUAL'!F49-DISTRIBUCION!F49</f>
        <v>425.34165475820191</v>
      </c>
      <c r="G49" s="65">
        <f>+'DIST VER ACTUAL'!G49-DISTRIBUCION!G49</f>
        <v>287940.18004134856</v>
      </c>
      <c r="H49" s="65">
        <f>+'DIST VER ACTUAL'!H49-DISTRIBUCION!H49</f>
        <v>4634.2477185728494</v>
      </c>
      <c r="I49" s="65">
        <f>+'DIST VER ACTUAL'!I49-DISTRIBUCION!I49</f>
        <v>220.03053362382343</v>
      </c>
      <c r="J49" s="65">
        <f>+'DIST VER ACTUAL'!J49-DISTRIBUCION!J49</f>
        <v>1903.977837193408</v>
      </c>
      <c r="K49" s="65">
        <f>+'DIST VER ACTUAL'!K49-DISTRIBUCION!K49</f>
        <v>-40225.4504732356</v>
      </c>
      <c r="L49" s="166">
        <f t="shared" si="1"/>
        <v>209605.89978953023</v>
      </c>
    </row>
    <row r="50" spans="1:12">
      <c r="A50" s="85">
        <v>55</v>
      </c>
      <c r="B50" s="221" t="s">
        <v>30</v>
      </c>
      <c r="C50" s="65">
        <f>+'DIST VER ACTUAL'!C50-DISTRIBUCION!C50</f>
        <v>277888.1355259195</v>
      </c>
      <c r="D50" s="65">
        <f>+'DIST VER ACTUAL'!D50-DISTRIBUCION!D50</f>
        <v>40077.324629755691</v>
      </c>
      <c r="E50" s="65">
        <f>+'DIST VER ACTUAL'!E50-DISTRIBUCION!E50</f>
        <v>405770.53876112774</v>
      </c>
      <c r="F50" s="65">
        <f>+'DIST VER ACTUAL'!F50-DISTRIBUCION!F50</f>
        <v>4293.6130266003311</v>
      </c>
      <c r="G50" s="65">
        <f>+'DIST VER ACTUAL'!G50-DISTRIBUCION!G50</f>
        <v>-118821.44606341468</v>
      </c>
      <c r="H50" s="65">
        <f>+'DIST VER ACTUAL'!H50-DISTRIBUCION!H50</f>
        <v>51705.01797778951</v>
      </c>
      <c r="I50" s="65">
        <f>+'DIST VER ACTUAL'!I50-DISTRIBUCION!I50</f>
        <v>2448.6426074471674</v>
      </c>
      <c r="J50" s="65">
        <f>+'DIST VER ACTUAL'!J50-DISTRIBUCION!J50</f>
        <v>21209.653692683671</v>
      </c>
      <c r="K50" s="65">
        <f>+'DIST VER ACTUAL'!K50-DISTRIBUCION!K50</f>
        <v>-122497.50562711526</v>
      </c>
      <c r="L50" s="166">
        <f t="shared" si="1"/>
        <v>562073.97453079373</v>
      </c>
    </row>
    <row r="51" spans="1:12">
      <c r="A51" s="85">
        <v>58</v>
      </c>
      <c r="B51" s="221" t="s">
        <v>130</v>
      </c>
      <c r="C51" s="65">
        <f>+'DIST VER ACTUAL'!C51-DISTRIBUCION!C51</f>
        <v>1173543.2769485712</v>
      </c>
      <c r="D51" s="65">
        <f>+'DIST VER ACTUAL'!D51-DISTRIBUCION!D51</f>
        <v>203392.09221599251</v>
      </c>
      <c r="E51" s="65">
        <f>+'DIST VER ACTUAL'!E51-DISTRIBUCION!E51</f>
        <v>-50121.461022119969</v>
      </c>
      <c r="F51" s="65">
        <f>+'DIST VER ACTUAL'!F51-DISTRIBUCION!F51</f>
        <v>22812.717165583745</v>
      </c>
      <c r="G51" s="65">
        <f>+'DIST VER ACTUAL'!G51-DISTRIBUCION!G51</f>
        <v>835851.95804077759</v>
      </c>
      <c r="H51" s="65">
        <f>+'DIST VER ACTUAL'!H51-DISTRIBUCION!H51</f>
        <v>248563.60233409703</v>
      </c>
      <c r="I51" s="65">
        <f>+'DIST VER ACTUAL'!I51-DISTRIBUCION!I51</f>
        <v>11801.551025933586</v>
      </c>
      <c r="J51" s="65">
        <f>+'DIST VER ACTUAL'!J51-DISTRIBUCION!J51</f>
        <v>102121.92130624503</v>
      </c>
      <c r="K51" s="65">
        <f>+'DIST VER ACTUAL'!K51-DISTRIBUCION!K51</f>
        <v>201553.40286554024</v>
      </c>
      <c r="L51" s="166">
        <f t="shared" si="1"/>
        <v>2749519.060880621</v>
      </c>
    </row>
    <row r="52" spans="1:12">
      <c r="A52" s="85">
        <v>31</v>
      </c>
      <c r="B52" s="221" t="s">
        <v>131</v>
      </c>
      <c r="C52" s="65">
        <f>+'DIST VER ACTUAL'!C52-DISTRIBUCION!C52</f>
        <v>1741311.6452155113</v>
      </c>
      <c r="D52" s="65">
        <f>+'DIST VER ACTUAL'!D52-DISTRIBUCION!D52</f>
        <v>300245.52816578746</v>
      </c>
      <c r="E52" s="65">
        <f>+'DIST VER ACTUAL'!E52-DISTRIBUCION!E52</f>
        <v>-34902.749176900834</v>
      </c>
      <c r="F52" s="65">
        <f>+'DIST VER ACTUAL'!F52-DISTRIBUCION!F52</f>
        <v>33706.701939117163</v>
      </c>
      <c r="G52" s="65">
        <f>+'DIST VER ACTUAL'!G52-DISTRIBUCION!G52</f>
        <v>1178655.0453272238</v>
      </c>
      <c r="H52" s="65">
        <f>+'DIST VER ACTUAL'!H52-DISTRIBUCION!H52</f>
        <v>366510.88456731662</v>
      </c>
      <c r="I52" s="65">
        <f>+'DIST VER ACTUAL'!I52-DISTRIBUCION!I52</f>
        <v>17402.532412870787</v>
      </c>
      <c r="J52" s="65">
        <f>+'DIST VER ACTUAL'!J52-DISTRIBUCION!J52</f>
        <v>150585.44290486723</v>
      </c>
      <c r="K52" s="65">
        <f>+'DIST VER ACTUAL'!K52-DISTRIBUCION!K52</f>
        <v>768113.62370131165</v>
      </c>
      <c r="L52" s="166">
        <f t="shared" si="1"/>
        <v>4521628.6550571052</v>
      </c>
    </row>
    <row r="53" spans="1:12">
      <c r="A53" s="85">
        <v>57</v>
      </c>
      <c r="B53" s="221" t="s">
        <v>31</v>
      </c>
      <c r="C53" s="65">
        <f>+'DIST VER ACTUAL'!C53-DISTRIBUCION!C53</f>
        <v>-1791772.3026714027</v>
      </c>
      <c r="D53" s="65">
        <f>+'DIST VER ACTUAL'!D53-DISTRIBUCION!D53</f>
        <v>-299711.30085045844</v>
      </c>
      <c r="E53" s="65">
        <f>+'DIST VER ACTUAL'!E53-DISTRIBUCION!E53</f>
        <v>-140862.27721304726</v>
      </c>
      <c r="F53" s="65">
        <f>+'DIST VER ACTUAL'!F53-DISTRIBUCION!F53</f>
        <v>-33574.31900437735</v>
      </c>
      <c r="G53" s="65">
        <f>+'DIST VER ACTUAL'!G53-DISTRIBUCION!G53</f>
        <v>-848973.20334104076</v>
      </c>
      <c r="H53" s="65">
        <f>+'DIST VER ACTUAL'!H53-DISTRIBUCION!H53</f>
        <v>-366838.49585739151</v>
      </c>
      <c r="I53" s="65">
        <f>+'DIST VER ACTUAL'!I53-DISTRIBUCION!I53</f>
        <v>-17415.840280071716</v>
      </c>
      <c r="J53" s="65">
        <f>+'DIST VER ACTUAL'!J53-DISTRIBUCION!J53</f>
        <v>-150708.0745764114</v>
      </c>
      <c r="K53" s="65">
        <f>+'DIST VER ACTUAL'!K53-DISTRIBUCION!K53</f>
        <v>-2593987.5781556759</v>
      </c>
      <c r="L53" s="166">
        <f t="shared" si="1"/>
        <v>-6243843.3919498771</v>
      </c>
    </row>
    <row r="54" spans="1:12">
      <c r="A54" s="85">
        <v>56</v>
      </c>
      <c r="B54" s="221" t="s">
        <v>32</v>
      </c>
      <c r="C54" s="65">
        <f>+'DIST VER ACTUAL'!C54-DISTRIBUCION!C54</f>
        <v>184572.07516025007</v>
      </c>
      <c r="D54" s="65">
        <f>+'DIST VER ACTUAL'!D54-DISTRIBUCION!D54</f>
        <v>24140.862409401685</v>
      </c>
      <c r="E54" s="65">
        <f>+'DIST VER ACTUAL'!E54-DISTRIBUCION!E54</f>
        <v>-116884.43580100313</v>
      </c>
      <c r="F54" s="65">
        <f>+'DIST VER ACTUAL'!F54-DISTRIBUCION!F54</f>
        <v>2707.4087180385832</v>
      </c>
      <c r="G54" s="65">
        <f>+'DIST VER ACTUAL'!G54-DISTRIBUCION!G54</f>
        <v>-178544.5100881001</v>
      </c>
      <c r="H54" s="65">
        <f>+'DIST VER ACTUAL'!H54-DISTRIBUCION!H54</f>
        <v>29505.927429524716</v>
      </c>
      <c r="I54" s="65">
        <f>+'DIST VER ACTUAL'!I54-DISTRIBUCION!I54</f>
        <v>1400.9034336025943</v>
      </c>
      <c r="J54" s="65">
        <f>+'DIST VER ACTUAL'!J54-DISTRIBUCION!J54</f>
        <v>12122.414786087116</v>
      </c>
      <c r="K54" s="65">
        <f>+'DIST VER ACTUAL'!K54-DISTRIBUCION!K54</f>
        <v>111012.76773327962</v>
      </c>
      <c r="L54" s="166">
        <f t="shared" si="1"/>
        <v>70033.413781081152</v>
      </c>
    </row>
    <row r="55" spans="1:12">
      <c r="A55" s="85">
        <v>59</v>
      </c>
      <c r="B55" s="221" t="s">
        <v>33</v>
      </c>
      <c r="C55" s="65">
        <f>+'DIST VER ACTUAL'!C55-DISTRIBUCION!C55</f>
        <v>126256.18267546408</v>
      </c>
      <c r="D55" s="65">
        <f>+'DIST VER ACTUAL'!D55-DISTRIBUCION!D55</f>
        <v>19423.148262044415</v>
      </c>
      <c r="E55" s="65">
        <f>+'DIST VER ACTUAL'!E55-DISTRIBUCION!E55</f>
        <v>653199.11357707158</v>
      </c>
      <c r="F55" s="65">
        <f>+'DIST VER ACTUAL'!F55-DISTRIBUCION!F55</f>
        <v>2176.705239860923</v>
      </c>
      <c r="G55" s="65">
        <f>+'DIST VER ACTUAL'!G55-DISTRIBUCION!G55</f>
        <v>-7178.658943131566</v>
      </c>
      <c r="H55" s="65">
        <f>+'DIST VER ACTUAL'!H55-DISTRIBUCION!H55</f>
        <v>23761.494251918979</v>
      </c>
      <c r="I55" s="65">
        <f>+'DIST VER ACTUAL'!I55-DISTRIBUCION!I55</f>
        <v>1128.1186025849383</v>
      </c>
      <c r="J55" s="65">
        <f>+'DIST VER ACTUAL'!J55-DISTRIBUCION!J55</f>
        <v>9762.065780884237</v>
      </c>
      <c r="K55" s="65">
        <f>+'DIST VER ACTUAL'!K55-DISTRIBUCION!K55</f>
        <v>873.16949332914373</v>
      </c>
      <c r="L55" s="166">
        <f t="shared" si="1"/>
        <v>829401.3389400267</v>
      </c>
    </row>
    <row r="56" spans="1:12">
      <c r="A56" s="85">
        <v>60</v>
      </c>
      <c r="B56" s="221" t="s">
        <v>34</v>
      </c>
      <c r="C56" s="65">
        <f>+'DIST VER ACTUAL'!C56-DISTRIBUCION!C56</f>
        <v>45438.02229083702</v>
      </c>
      <c r="D56" s="65">
        <f>+'DIST VER ACTUAL'!D56-DISTRIBUCION!D56</f>
        <v>8815.8071601954289</v>
      </c>
      <c r="E56" s="65">
        <f>+'DIST VER ACTUAL'!E56-DISTRIBUCION!E56</f>
        <v>2263914.9284875505</v>
      </c>
      <c r="F56" s="65">
        <f>+'DIST VER ACTUAL'!F56-DISTRIBUCION!F56</f>
        <v>987.93849686306203</v>
      </c>
      <c r="G56" s="65">
        <f>+'DIST VER ACTUAL'!G56-DISTRIBUCION!G56</f>
        <v>69533.853261970682</v>
      </c>
      <c r="H56" s="65">
        <f>+'DIST VER ACTUAL'!H56-DISTRIBUCION!H56</f>
        <v>10785.290849063662</v>
      </c>
      <c r="I56" s="65">
        <f>+'DIST VER ACTUAL'!I56-DISTRIBUCION!I56</f>
        <v>512.04313320371148</v>
      </c>
      <c r="J56" s="65">
        <f>+'DIST VER ACTUAL'!J56-DISTRIBUCION!J56</f>
        <v>4430.9822239136265</v>
      </c>
      <c r="K56" s="65">
        <f>+'DIST VER ACTUAL'!K56-DISTRIBUCION!K56</f>
        <v>-8794.3414867842421</v>
      </c>
      <c r="L56" s="166">
        <f t="shared" si="1"/>
        <v>2395624.5244168136</v>
      </c>
    </row>
    <row r="57" spans="1:12">
      <c r="B57" s="167" t="s">
        <v>35</v>
      </c>
      <c r="C57" s="222">
        <f>SUM(C6:C56)</f>
        <v>-2.1690272726118565E-2</v>
      </c>
      <c r="D57" s="222">
        <f t="shared" ref="D57:I57" si="2">SUM(D6:D56)</f>
        <v>-4.000011773314327E-2</v>
      </c>
      <c r="E57" s="222">
        <f t="shared" si="2"/>
        <v>0.10000004060566425</v>
      </c>
      <c r="F57" s="222">
        <f t="shared" si="2"/>
        <v>6.275933253346011E-2</v>
      </c>
      <c r="G57" s="222">
        <f t="shared" si="2"/>
        <v>-3.0000047059729695E-2</v>
      </c>
      <c r="H57" s="222">
        <f t="shared" si="2"/>
        <v>-1.2000006798189133E-2</v>
      </c>
      <c r="I57" s="222">
        <f t="shared" si="2"/>
        <v>2.0000001215521479E-2</v>
      </c>
      <c r="J57" s="222">
        <v>0</v>
      </c>
      <c r="K57" s="222">
        <f>SUM(K6:K56)</f>
        <v>-9.9999887806916377E-3</v>
      </c>
      <c r="L57" s="223">
        <f>SUM(C57:K57)</f>
        <v>6.9068941256773542E-2</v>
      </c>
    </row>
    <row r="58" spans="1:12" ht="16.5" customHeight="1">
      <c r="B58" s="37" t="s">
        <v>139</v>
      </c>
      <c r="C58" s="66"/>
      <c r="D58" s="69"/>
      <c r="E58" s="69"/>
      <c r="F58" s="57"/>
    </row>
    <row r="59" spans="1:12">
      <c r="B59" s="42"/>
      <c r="C59" s="67"/>
    </row>
    <row r="60" spans="1:12">
      <c r="B60" s="42"/>
      <c r="C60" s="67"/>
    </row>
    <row r="61" spans="1:12" ht="16.5" customHeight="1"/>
  </sheetData>
  <mergeCells count="4">
    <mergeCell ref="B1:L1"/>
    <mergeCell ref="B2:L2"/>
    <mergeCell ref="B3:L3"/>
    <mergeCell ref="B4:L4"/>
  </mergeCells>
  <printOptions horizontalCentered="1"/>
  <pageMargins left="0.19685039370078741" right="0.19685039370078741" top="0.15748031496062992" bottom="0.15748031496062992" header="0.15748031496062992" footer="0.15748031496062992"/>
  <pageSetup scale="78" orientation="landscape" r:id="rId1"/>
  <headerFooter alignWithMargins="0">
    <oddHeader>&amp;LANEXO IV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showGridLines="0" zoomScaleNormal="100" workbookViewId="0">
      <selection activeCell="C58" sqref="C58"/>
    </sheetView>
  </sheetViews>
  <sheetFormatPr baseColWidth="10" defaultRowHeight="12.75"/>
  <cols>
    <col min="1" max="1" width="3" style="227" bestFit="1" customWidth="1"/>
    <col min="2" max="2" width="46.7109375" style="227" customWidth="1"/>
    <col min="3" max="3" width="13.85546875" style="228" bestFit="1" customWidth="1"/>
    <col min="4" max="4" width="13.140625" style="227" bestFit="1" customWidth="1"/>
    <col min="5" max="5" width="26.7109375" style="228" customWidth="1"/>
    <col min="6" max="16384" width="11.42578125" style="227"/>
  </cols>
  <sheetData>
    <row r="1" spans="1:5">
      <c r="B1" s="269" t="s">
        <v>220</v>
      </c>
      <c r="C1" s="269"/>
      <c r="D1" s="269"/>
      <c r="E1" s="269"/>
    </row>
    <row r="2" spans="1:5">
      <c r="B2" s="270"/>
      <c r="C2" s="270"/>
      <c r="D2" s="270"/>
      <c r="E2" s="270"/>
    </row>
    <row r="3" spans="1:5">
      <c r="B3" s="244" t="s">
        <v>219</v>
      </c>
      <c r="C3" s="243" t="s">
        <v>218</v>
      </c>
      <c r="D3" s="242" t="s">
        <v>217</v>
      </c>
      <c r="E3" s="241" t="s">
        <v>216</v>
      </c>
    </row>
    <row r="4" spans="1:5">
      <c r="A4" s="239">
        <v>15</v>
      </c>
      <c r="B4" s="238" t="s">
        <v>1</v>
      </c>
      <c r="C4" s="237">
        <v>474906.8</v>
      </c>
      <c r="D4" s="240">
        <f t="shared" ref="D4:D35" si="0">+C4/C$55</f>
        <v>1.08375304262991E-4</v>
      </c>
      <c r="E4" s="235">
        <f t="shared" ref="E4:E35" si="1">+ROUND(D4*C$58,2)</f>
        <v>19426.11</v>
      </c>
    </row>
    <row r="5" spans="1:5">
      <c r="A5" s="239">
        <v>11</v>
      </c>
      <c r="B5" s="238" t="s">
        <v>2</v>
      </c>
      <c r="C5" s="237">
        <v>421260</v>
      </c>
      <c r="D5" s="236">
        <f t="shared" si="0"/>
        <v>9.6132926868656309E-5</v>
      </c>
      <c r="E5" s="235">
        <f t="shared" si="1"/>
        <v>17231.689999999999</v>
      </c>
    </row>
    <row r="6" spans="1:5">
      <c r="A6" s="239">
        <v>12</v>
      </c>
      <c r="B6" s="238" t="s">
        <v>132</v>
      </c>
      <c r="C6" s="237">
        <v>17184</v>
      </c>
      <c r="D6" s="236">
        <f t="shared" si="0"/>
        <v>3.9214456993566688E-6</v>
      </c>
      <c r="E6" s="235">
        <f t="shared" si="1"/>
        <v>702.91</v>
      </c>
    </row>
    <row r="7" spans="1:5">
      <c r="A7" s="239">
        <v>13</v>
      </c>
      <c r="B7" s="238" t="s">
        <v>3</v>
      </c>
      <c r="C7" s="237">
        <v>29152161.600000001</v>
      </c>
      <c r="D7" s="236">
        <f t="shared" si="0"/>
        <v>6.6526198052415395E-3</v>
      </c>
      <c r="E7" s="235">
        <f t="shared" si="1"/>
        <v>1192472.28</v>
      </c>
    </row>
    <row r="8" spans="1:5">
      <c r="A8" s="239">
        <v>14</v>
      </c>
      <c r="B8" s="238" t="s">
        <v>133</v>
      </c>
      <c r="C8" s="237">
        <v>4249885.59</v>
      </c>
      <c r="D8" s="236">
        <f t="shared" si="0"/>
        <v>9.6983796378394879E-4</v>
      </c>
      <c r="E8" s="235">
        <f t="shared" si="1"/>
        <v>173842.02</v>
      </c>
    </row>
    <row r="9" spans="1:5">
      <c r="A9" s="239">
        <v>17</v>
      </c>
      <c r="B9" s="238" t="s">
        <v>4</v>
      </c>
      <c r="C9" s="237">
        <v>534539546.31999999</v>
      </c>
      <c r="D9" s="236">
        <f t="shared" si="0"/>
        <v>0.1219836944281092</v>
      </c>
      <c r="E9" s="235">
        <f t="shared" si="1"/>
        <v>21865397.199999999</v>
      </c>
    </row>
    <row r="10" spans="1:5">
      <c r="A10" s="239">
        <v>16</v>
      </c>
      <c r="B10" s="238" t="s">
        <v>5</v>
      </c>
      <c r="C10" s="237">
        <v>36713</v>
      </c>
      <c r="D10" s="236">
        <f t="shared" si="0"/>
        <v>8.3780281634358339E-6</v>
      </c>
      <c r="E10" s="235">
        <f t="shared" si="1"/>
        <v>1501.75</v>
      </c>
    </row>
    <row r="11" spans="1:5">
      <c r="A11" s="239">
        <v>18</v>
      </c>
      <c r="B11" s="238" t="s">
        <v>6</v>
      </c>
      <c r="C11" s="237">
        <v>1200170.92</v>
      </c>
      <c r="D11" s="236">
        <f t="shared" si="0"/>
        <v>2.7388297792870902E-4</v>
      </c>
      <c r="E11" s="235">
        <f t="shared" si="1"/>
        <v>49093.120000000003</v>
      </c>
    </row>
    <row r="12" spans="1:5">
      <c r="A12" s="239">
        <v>19</v>
      </c>
      <c r="B12" s="238" t="s">
        <v>117</v>
      </c>
      <c r="C12" s="237">
        <v>41767656.560000002</v>
      </c>
      <c r="D12" s="236">
        <f t="shared" si="0"/>
        <v>9.5315175273171758E-3</v>
      </c>
      <c r="E12" s="235">
        <f t="shared" si="1"/>
        <v>1708510.45</v>
      </c>
    </row>
    <row r="13" spans="1:5">
      <c r="A13" s="239">
        <v>20</v>
      </c>
      <c r="B13" s="238" t="s">
        <v>118</v>
      </c>
      <c r="C13" s="237">
        <v>23113477.34</v>
      </c>
      <c r="D13" s="236">
        <f t="shared" si="0"/>
        <v>5.2745720619250935E-3</v>
      </c>
      <c r="E13" s="235">
        <f t="shared" si="1"/>
        <v>945459.26</v>
      </c>
    </row>
    <row r="14" spans="1:5">
      <c r="A14" s="239">
        <v>23</v>
      </c>
      <c r="B14" s="238" t="s">
        <v>119</v>
      </c>
      <c r="C14" s="237">
        <v>566810.13</v>
      </c>
      <c r="D14" s="236">
        <f t="shared" si="0"/>
        <v>1.2934794847767076E-4</v>
      </c>
      <c r="E14" s="235">
        <f t="shared" si="1"/>
        <v>23185.43</v>
      </c>
    </row>
    <row r="15" spans="1:5">
      <c r="A15" s="239">
        <v>21</v>
      </c>
      <c r="B15" s="238" t="s">
        <v>7</v>
      </c>
      <c r="C15" s="237">
        <v>2032678</v>
      </c>
      <c r="D15" s="236">
        <f t="shared" si="0"/>
        <v>4.638638501674182E-4</v>
      </c>
      <c r="E15" s="235">
        <f t="shared" si="1"/>
        <v>83146.91</v>
      </c>
    </row>
    <row r="16" spans="1:5">
      <c r="A16" s="239">
        <v>22</v>
      </c>
      <c r="B16" s="238" t="s">
        <v>120</v>
      </c>
      <c r="C16" s="237">
        <v>175610593.97</v>
      </c>
      <c r="D16" s="236">
        <f t="shared" si="0"/>
        <v>4.0074919022644706E-2</v>
      </c>
      <c r="E16" s="235">
        <f t="shared" si="1"/>
        <v>7183370.0899999999</v>
      </c>
    </row>
    <row r="17" spans="1:5">
      <c r="A17" s="239">
        <v>25</v>
      </c>
      <c r="B17" s="238" t="s">
        <v>8</v>
      </c>
      <c r="C17" s="237">
        <v>84551.33</v>
      </c>
      <c r="D17" s="236">
        <f t="shared" si="0"/>
        <v>1.9294893470867463E-5</v>
      </c>
      <c r="E17" s="235">
        <f t="shared" si="1"/>
        <v>3458.58</v>
      </c>
    </row>
    <row r="18" spans="1:5">
      <c r="A18" s="239">
        <v>27</v>
      </c>
      <c r="B18" s="238" t="s">
        <v>9</v>
      </c>
      <c r="C18" s="237">
        <v>35192.36</v>
      </c>
      <c r="D18" s="236">
        <f t="shared" si="0"/>
        <v>8.0310130803195795E-6</v>
      </c>
      <c r="E18" s="235">
        <f t="shared" si="1"/>
        <v>1439.55</v>
      </c>
    </row>
    <row r="19" spans="1:5">
      <c r="A19" s="239">
        <v>26</v>
      </c>
      <c r="B19" s="238" t="s">
        <v>121</v>
      </c>
      <c r="C19" s="237">
        <v>2636832.71</v>
      </c>
      <c r="D19" s="236">
        <f t="shared" si="0"/>
        <v>6.017339554558013E-4</v>
      </c>
      <c r="E19" s="235">
        <f t="shared" si="1"/>
        <v>107859.92</v>
      </c>
    </row>
    <row r="20" spans="1:5">
      <c r="A20" s="239">
        <v>29</v>
      </c>
      <c r="B20" s="238" t="s">
        <v>10</v>
      </c>
      <c r="C20" s="237">
        <v>1165158.8899999999</v>
      </c>
      <c r="D20" s="236">
        <f t="shared" si="0"/>
        <v>2.6589311675149493E-4</v>
      </c>
      <c r="E20" s="235">
        <f t="shared" si="1"/>
        <v>47660.95</v>
      </c>
    </row>
    <row r="21" spans="1:5">
      <c r="A21" s="239">
        <v>30</v>
      </c>
      <c r="B21" s="238" t="s">
        <v>122</v>
      </c>
      <c r="C21" s="237">
        <v>342548472.74000001</v>
      </c>
      <c r="D21" s="236">
        <f t="shared" si="0"/>
        <v>7.8170695719708333E-2</v>
      </c>
      <c r="E21" s="235">
        <f t="shared" si="1"/>
        <v>14011981.84</v>
      </c>
    </row>
    <row r="22" spans="1:5">
      <c r="A22" s="239">
        <v>32</v>
      </c>
      <c r="B22" s="238" t="s">
        <v>11</v>
      </c>
      <c r="C22" s="237">
        <v>1270094.77</v>
      </c>
      <c r="D22" s="236">
        <f t="shared" si="0"/>
        <v>2.898398320293236E-4</v>
      </c>
      <c r="E22" s="235">
        <f t="shared" si="1"/>
        <v>51953.36</v>
      </c>
    </row>
    <row r="23" spans="1:5">
      <c r="A23" s="239">
        <v>33</v>
      </c>
      <c r="B23" s="238" t="s">
        <v>12</v>
      </c>
      <c r="C23" s="237">
        <v>190874392.69</v>
      </c>
      <c r="D23" s="236">
        <f t="shared" si="0"/>
        <v>4.3558168431768879E-2</v>
      </c>
      <c r="E23" s="235">
        <f t="shared" si="1"/>
        <v>7807737.4100000001</v>
      </c>
    </row>
    <row r="24" spans="1:5">
      <c r="A24" s="239">
        <v>34</v>
      </c>
      <c r="B24" s="238" t="s">
        <v>123</v>
      </c>
      <c r="C24" s="237">
        <v>2018033.59</v>
      </c>
      <c r="D24" s="236">
        <f t="shared" si="0"/>
        <v>4.6052194731510698E-4</v>
      </c>
      <c r="E24" s="235">
        <f t="shared" si="1"/>
        <v>82547.88</v>
      </c>
    </row>
    <row r="25" spans="1:5">
      <c r="A25" s="239">
        <v>35</v>
      </c>
      <c r="B25" s="238" t="s">
        <v>13</v>
      </c>
      <c r="C25" s="237">
        <v>63032.43</v>
      </c>
      <c r="D25" s="236">
        <f t="shared" si="0"/>
        <v>1.4384209237866635E-5</v>
      </c>
      <c r="E25" s="235">
        <f t="shared" si="1"/>
        <v>2578.35</v>
      </c>
    </row>
    <row r="26" spans="1:5">
      <c r="A26" s="239">
        <v>61</v>
      </c>
      <c r="B26" s="238" t="s">
        <v>14</v>
      </c>
      <c r="C26" s="237">
        <v>14024</v>
      </c>
      <c r="D26" s="236">
        <f t="shared" si="0"/>
        <v>3.2003232360205957E-6</v>
      </c>
      <c r="E26" s="235">
        <f t="shared" si="1"/>
        <v>573.65</v>
      </c>
    </row>
    <row r="27" spans="1:5">
      <c r="A27" s="239">
        <v>36</v>
      </c>
      <c r="B27" s="238" t="s">
        <v>15</v>
      </c>
      <c r="C27" s="237">
        <v>27017738.920000002</v>
      </c>
      <c r="D27" s="236">
        <f t="shared" si="0"/>
        <v>6.1655374822029377E-3</v>
      </c>
      <c r="E27" s="235">
        <f t="shared" si="1"/>
        <v>1105163.49</v>
      </c>
    </row>
    <row r="28" spans="1:5">
      <c r="A28" s="239">
        <v>28</v>
      </c>
      <c r="B28" s="238" t="s">
        <v>16</v>
      </c>
      <c r="C28" s="237">
        <v>243468518.46000001</v>
      </c>
      <c r="D28" s="236">
        <f t="shared" si="0"/>
        <v>5.5560322081221289E-2</v>
      </c>
      <c r="E28" s="235">
        <f t="shared" si="1"/>
        <v>9959105.7400000002</v>
      </c>
    </row>
    <row r="29" spans="1:5">
      <c r="A29" s="239">
        <v>37</v>
      </c>
      <c r="B29" s="238" t="s">
        <v>124</v>
      </c>
      <c r="C29" s="237">
        <v>13086.3</v>
      </c>
      <c r="D29" s="236">
        <f t="shared" si="0"/>
        <v>2.9863369911249515E-6</v>
      </c>
      <c r="E29" s="235">
        <f t="shared" si="1"/>
        <v>535.29999999999995</v>
      </c>
    </row>
    <row r="30" spans="1:5">
      <c r="A30" s="239">
        <v>39</v>
      </c>
      <c r="B30" s="238" t="s">
        <v>17</v>
      </c>
      <c r="C30" s="237">
        <v>357767.19</v>
      </c>
      <c r="D30" s="236">
        <f t="shared" si="0"/>
        <v>8.1643657390387573E-5</v>
      </c>
      <c r="E30" s="235">
        <f t="shared" si="1"/>
        <v>14634.51</v>
      </c>
    </row>
    <row r="31" spans="1:5">
      <c r="A31" s="239">
        <v>38</v>
      </c>
      <c r="B31" s="238" t="s">
        <v>18</v>
      </c>
      <c r="C31" s="237">
        <v>917002.48</v>
      </c>
      <c r="D31" s="236">
        <f t="shared" si="0"/>
        <v>2.0926300229838217E-4</v>
      </c>
      <c r="E31" s="235">
        <f t="shared" si="1"/>
        <v>37510.080000000002</v>
      </c>
    </row>
    <row r="32" spans="1:5">
      <c r="A32" s="239">
        <v>40</v>
      </c>
      <c r="B32" s="238" t="s">
        <v>19</v>
      </c>
      <c r="C32" s="237">
        <v>701456.27</v>
      </c>
      <c r="D32" s="236">
        <f t="shared" si="0"/>
        <v>1.6007464346358649E-4</v>
      </c>
      <c r="E32" s="235">
        <f t="shared" si="1"/>
        <v>28693.14</v>
      </c>
    </row>
    <row r="33" spans="1:5">
      <c r="A33" s="239">
        <v>41</v>
      </c>
      <c r="B33" s="238" t="s">
        <v>20</v>
      </c>
      <c r="C33" s="237">
        <v>30320</v>
      </c>
      <c r="D33" s="236">
        <f t="shared" si="0"/>
        <v>6.9191243950473805E-6</v>
      </c>
      <c r="E33" s="235">
        <f t="shared" si="1"/>
        <v>1240.24</v>
      </c>
    </row>
    <row r="34" spans="1:5">
      <c r="A34" s="239">
        <v>42</v>
      </c>
      <c r="B34" s="238" t="s">
        <v>125</v>
      </c>
      <c r="C34" s="237">
        <v>152785749</v>
      </c>
      <c r="D34" s="236">
        <f t="shared" si="0"/>
        <v>3.4866213823268002E-2</v>
      </c>
      <c r="E34" s="235">
        <f t="shared" si="1"/>
        <v>6249717.3700000001</v>
      </c>
    </row>
    <row r="35" spans="1:5">
      <c r="A35" s="239">
        <v>43</v>
      </c>
      <c r="B35" s="238" t="s">
        <v>21</v>
      </c>
      <c r="C35" s="237">
        <v>1244766.3799999999</v>
      </c>
      <c r="D35" s="236">
        <f t="shared" si="0"/>
        <v>2.8405980956440691E-4</v>
      </c>
      <c r="E35" s="235">
        <f t="shared" si="1"/>
        <v>50917.3</v>
      </c>
    </row>
    <row r="36" spans="1:5">
      <c r="A36" s="239">
        <v>44</v>
      </c>
      <c r="B36" s="238" t="s">
        <v>22</v>
      </c>
      <c r="C36" s="237">
        <v>13163302.15</v>
      </c>
      <c r="D36" s="236">
        <f t="shared" ref="D36:D54" si="2">+C36/C$55</f>
        <v>3.003909136723108E-3</v>
      </c>
      <c r="E36" s="235">
        <f t="shared" ref="E36:E54" si="3">+ROUND(D36*C$58,2)</f>
        <v>538446.28</v>
      </c>
    </row>
    <row r="37" spans="1:5">
      <c r="A37" s="239">
        <v>46</v>
      </c>
      <c r="B37" s="238" t="s">
        <v>126</v>
      </c>
      <c r="C37" s="237">
        <v>9273203.5500000007</v>
      </c>
      <c r="D37" s="236">
        <f t="shared" si="2"/>
        <v>2.1161757553774729E-3</v>
      </c>
      <c r="E37" s="235">
        <f t="shared" si="3"/>
        <v>379321.38</v>
      </c>
    </row>
    <row r="38" spans="1:5">
      <c r="A38" s="239">
        <v>49</v>
      </c>
      <c r="B38" s="238" t="s">
        <v>23</v>
      </c>
      <c r="C38" s="237">
        <v>84513.12</v>
      </c>
      <c r="D38" s="236">
        <f t="shared" si="2"/>
        <v>1.9286173822347183E-5</v>
      </c>
      <c r="E38" s="235">
        <f t="shared" si="3"/>
        <v>3457.02</v>
      </c>
    </row>
    <row r="39" spans="1:5">
      <c r="A39" s="239">
        <v>48</v>
      </c>
      <c r="B39" s="238" t="s">
        <v>24</v>
      </c>
      <c r="C39" s="237">
        <v>3664</v>
      </c>
      <c r="D39" s="236">
        <f t="shared" si="2"/>
        <v>8.3613693217195262E-7</v>
      </c>
      <c r="E39" s="235">
        <f t="shared" si="3"/>
        <v>149.88</v>
      </c>
    </row>
    <row r="40" spans="1:5">
      <c r="A40" s="239">
        <v>47</v>
      </c>
      <c r="B40" s="238" t="s">
        <v>25</v>
      </c>
      <c r="C40" s="237">
        <v>1069385.3500000001</v>
      </c>
      <c r="D40" s="236">
        <f t="shared" si="2"/>
        <v>2.4403727779984439E-4</v>
      </c>
      <c r="E40" s="235">
        <f t="shared" si="3"/>
        <v>43743.32</v>
      </c>
    </row>
    <row r="41" spans="1:5">
      <c r="A41" s="239">
        <v>45</v>
      </c>
      <c r="B41" s="238" t="s">
        <v>26</v>
      </c>
      <c r="C41" s="237">
        <v>37682896</v>
      </c>
      <c r="D41" s="236">
        <f t="shared" si="2"/>
        <v>8.5993616421383024E-3</v>
      </c>
      <c r="E41" s="235">
        <f t="shared" si="3"/>
        <v>1541422.88</v>
      </c>
    </row>
    <row r="42" spans="1:5">
      <c r="A42" s="239">
        <v>70</v>
      </c>
      <c r="B42" s="238" t="s">
        <v>27</v>
      </c>
      <c r="C42" s="237">
        <v>1010574698</v>
      </c>
      <c r="D42" s="236">
        <f t="shared" si="2"/>
        <v>0.23061649228065434</v>
      </c>
      <c r="E42" s="235">
        <f t="shared" si="3"/>
        <v>41337665.899999999</v>
      </c>
    </row>
    <row r="43" spans="1:5">
      <c r="A43" s="239">
        <v>50</v>
      </c>
      <c r="B43" s="238" t="s">
        <v>127</v>
      </c>
      <c r="C43" s="237">
        <v>642873</v>
      </c>
      <c r="D43" s="236">
        <f t="shared" si="2"/>
        <v>1.4670574726969969E-4</v>
      </c>
      <c r="E43" s="235">
        <f t="shared" si="3"/>
        <v>26296.79</v>
      </c>
    </row>
    <row r="44" spans="1:5">
      <c r="A44" s="239">
        <v>51</v>
      </c>
      <c r="B44" s="238" t="s">
        <v>128</v>
      </c>
      <c r="C44" s="237">
        <v>102084745.95999999</v>
      </c>
      <c r="D44" s="236">
        <f t="shared" si="2"/>
        <v>2.3296077049276071E-2</v>
      </c>
      <c r="E44" s="235">
        <f t="shared" si="3"/>
        <v>4175787.43</v>
      </c>
    </row>
    <row r="45" spans="1:5">
      <c r="A45" s="239">
        <v>52</v>
      </c>
      <c r="B45" s="238" t="s">
        <v>129</v>
      </c>
      <c r="C45" s="237">
        <v>1203488</v>
      </c>
      <c r="D45" s="236">
        <f t="shared" si="2"/>
        <v>2.7463994656816562E-4</v>
      </c>
      <c r="E45" s="235">
        <f t="shared" si="3"/>
        <v>49228.81</v>
      </c>
    </row>
    <row r="46" spans="1:5">
      <c r="A46" s="239">
        <v>53</v>
      </c>
      <c r="B46" s="238" t="s">
        <v>28</v>
      </c>
      <c r="C46" s="237">
        <v>20856</v>
      </c>
      <c r="D46" s="236">
        <f t="shared" si="2"/>
        <v>4.7594082580180797E-6</v>
      </c>
      <c r="E46" s="235">
        <f t="shared" si="3"/>
        <v>853.12</v>
      </c>
    </row>
    <row r="47" spans="1:5">
      <c r="A47" s="239">
        <v>54</v>
      </c>
      <c r="B47" s="238" t="s">
        <v>29</v>
      </c>
      <c r="C47" s="237">
        <v>4546487.45</v>
      </c>
      <c r="D47" s="236">
        <f t="shared" si="2"/>
        <v>1.0375234903387783E-3</v>
      </c>
      <c r="E47" s="235">
        <f t="shared" si="3"/>
        <v>185974.55</v>
      </c>
    </row>
    <row r="48" spans="1:5">
      <c r="A48" s="239">
        <v>55</v>
      </c>
      <c r="B48" s="238" t="s">
        <v>30</v>
      </c>
      <c r="C48" s="237">
        <v>157968784</v>
      </c>
      <c r="D48" s="236">
        <f t="shared" si="2"/>
        <v>3.6048999572241766E-2</v>
      </c>
      <c r="E48" s="235">
        <f t="shared" si="3"/>
        <v>6461729.9699999997</v>
      </c>
    </row>
    <row r="49" spans="1:5">
      <c r="A49" s="239">
        <v>58</v>
      </c>
      <c r="B49" s="238" t="s">
        <v>130</v>
      </c>
      <c r="C49" s="237">
        <v>160385441.25999999</v>
      </c>
      <c r="D49" s="236">
        <f t="shared" si="2"/>
        <v>3.6600488760966512E-2</v>
      </c>
      <c r="E49" s="235">
        <f t="shared" si="3"/>
        <v>6560583.5999999996</v>
      </c>
    </row>
    <row r="50" spans="1:5">
      <c r="A50" s="239">
        <v>31</v>
      </c>
      <c r="B50" s="238" t="s">
        <v>131</v>
      </c>
      <c r="C50" s="237">
        <v>712942858.97000003</v>
      </c>
      <c r="D50" s="236">
        <f t="shared" si="2"/>
        <v>0.16269592110073058</v>
      </c>
      <c r="E50" s="235">
        <f t="shared" si="3"/>
        <v>29163003.75</v>
      </c>
    </row>
    <row r="51" spans="1:5">
      <c r="A51" s="239">
        <v>57</v>
      </c>
      <c r="B51" s="238" t="s">
        <v>31</v>
      </c>
      <c r="C51" s="237">
        <v>221784243.81999999</v>
      </c>
      <c r="D51" s="236">
        <f t="shared" si="2"/>
        <v>5.0611898807786881E-2</v>
      </c>
      <c r="E51" s="235">
        <f t="shared" si="3"/>
        <v>9072108.1699999999</v>
      </c>
    </row>
    <row r="52" spans="1:5">
      <c r="A52" s="239">
        <v>56</v>
      </c>
      <c r="B52" s="238" t="s">
        <v>32</v>
      </c>
      <c r="C52" s="237">
        <v>166604430.00999999</v>
      </c>
      <c r="D52" s="236">
        <f t="shared" si="2"/>
        <v>3.8019682585921991E-2</v>
      </c>
      <c r="E52" s="235">
        <f t="shared" si="3"/>
        <v>6814971.9900000002</v>
      </c>
    </row>
    <row r="53" spans="1:5">
      <c r="A53" s="239">
        <v>59</v>
      </c>
      <c r="B53" s="238" t="s">
        <v>33</v>
      </c>
      <c r="C53" s="237">
        <v>1234258</v>
      </c>
      <c r="D53" s="236">
        <f t="shared" si="2"/>
        <v>2.8166176245324502E-4</v>
      </c>
      <c r="E53" s="235">
        <f t="shared" si="3"/>
        <v>50487.46</v>
      </c>
    </row>
    <row r="54" spans="1:5">
      <c r="A54" s="239">
        <v>60</v>
      </c>
      <c r="B54" s="238" t="s">
        <v>34</v>
      </c>
      <c r="C54" s="237">
        <v>357999.5</v>
      </c>
      <c r="D54" s="236">
        <f t="shared" si="2"/>
        <v>8.1696671301608335E-5</v>
      </c>
      <c r="E54" s="235">
        <f t="shared" si="3"/>
        <v>14644.01</v>
      </c>
    </row>
    <row r="55" spans="1:5">
      <c r="B55" s="234" t="s">
        <v>215</v>
      </c>
      <c r="C55" s="233">
        <f>+SUM(C4:C54)</f>
        <v>4382057362.8800001</v>
      </c>
      <c r="D55" s="232">
        <f>SUM(D4:D54)</f>
        <v>1.0000000000000002</v>
      </c>
      <c r="E55" s="231">
        <f>SUM(E4:E54)</f>
        <v>179248524.18999997</v>
      </c>
    </row>
    <row r="57" spans="1:5">
      <c r="B57" s="230" t="s">
        <v>214</v>
      </c>
      <c r="C57" s="229">
        <f>+'PART 2025'!E27</f>
        <v>896242621</v>
      </c>
    </row>
    <row r="58" spans="1:5">
      <c r="B58" s="230" t="s">
        <v>213</v>
      </c>
      <c r="C58" s="229">
        <f>+C57*0.2</f>
        <v>179248524.20000002</v>
      </c>
    </row>
  </sheetData>
  <mergeCells count="2">
    <mergeCell ref="B1:E1"/>
    <mergeCell ref="B2:E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orientation="portrait" r:id="rId1"/>
  <headerFooter>
    <oddHeader>&amp;LANEXO I&amp;C&amp;"-,Negrita"&amp;12COORDINACIÓN DE PLANEACIÓN HACENDARIA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topLeftCell="A13" zoomScaleNormal="100" zoomScaleSheetLayoutView="100" workbookViewId="0">
      <selection activeCell="A18" sqref="A18"/>
    </sheetView>
  </sheetViews>
  <sheetFormatPr baseColWidth="10" defaultColWidth="11.42578125" defaultRowHeight="12.75"/>
  <cols>
    <col min="1" max="1" width="45.42578125" style="37" customWidth="1"/>
    <col min="2" max="12" width="14" style="37" customWidth="1"/>
    <col min="13" max="13" width="14.28515625" style="37" customWidth="1"/>
    <col min="14" max="14" width="11.42578125" style="37" customWidth="1"/>
    <col min="15" max="15" width="15.7109375" style="37" customWidth="1"/>
    <col min="16" max="16" width="14.7109375" style="37" customWidth="1"/>
    <col min="17" max="17" width="13" style="37" customWidth="1"/>
    <col min="18" max="18" width="17.140625" style="37" customWidth="1"/>
    <col min="19" max="19" width="13.85546875" style="37" bestFit="1" customWidth="1"/>
    <col min="20" max="20" width="11.42578125" style="37"/>
    <col min="21" max="21" width="17.5703125" style="37" bestFit="1" customWidth="1"/>
    <col min="22" max="22" width="11.42578125" style="37"/>
    <col min="23" max="23" width="14.85546875" style="37" bestFit="1" customWidth="1"/>
    <col min="24" max="16384" width="11.42578125" style="37"/>
  </cols>
  <sheetData>
    <row r="1" spans="1:23" ht="18.75" customHeight="1">
      <c r="A1" s="250" t="s">
        <v>199</v>
      </c>
      <c r="B1" s="250"/>
      <c r="C1" s="250"/>
      <c r="D1" s="250"/>
      <c r="E1" s="250"/>
      <c r="F1" s="250"/>
      <c r="G1" s="250"/>
      <c r="H1" s="250"/>
      <c r="I1" s="250"/>
      <c r="J1" s="249"/>
      <c r="K1" s="249"/>
      <c r="L1" s="249"/>
      <c r="M1" s="249"/>
      <c r="N1" s="249"/>
      <c r="O1" s="249"/>
      <c r="P1" s="249"/>
      <c r="Q1" s="249"/>
    </row>
    <row r="2" spans="1:23">
      <c r="A2" s="158" t="s">
        <v>79</v>
      </c>
      <c r="B2" s="159" t="s">
        <v>192</v>
      </c>
      <c r="C2" s="159" t="s">
        <v>193</v>
      </c>
      <c r="D2" s="159" t="s">
        <v>194</v>
      </c>
      <c r="E2" s="159" t="s">
        <v>193</v>
      </c>
      <c r="F2" s="159" t="s">
        <v>195</v>
      </c>
      <c r="G2" s="159" t="s">
        <v>196</v>
      </c>
      <c r="H2" s="159" t="s">
        <v>193</v>
      </c>
      <c r="I2" s="159" t="s">
        <v>197</v>
      </c>
    </row>
    <row r="3" spans="1:23" ht="24" customHeight="1">
      <c r="A3" s="150" t="s">
        <v>81</v>
      </c>
      <c r="B3" s="151">
        <v>3658160966</v>
      </c>
      <c r="C3" s="151"/>
      <c r="D3" s="151">
        <v>4777803250.4369459</v>
      </c>
      <c r="E3" s="151">
        <v>158161189</v>
      </c>
      <c r="F3" s="151">
        <v>4058594394</v>
      </c>
      <c r="G3" s="151">
        <v>5386829130</v>
      </c>
      <c r="H3" s="151"/>
      <c r="I3" s="151">
        <v>4686197197</v>
      </c>
      <c r="R3" s="80"/>
      <c r="S3" s="80"/>
    </row>
    <row r="4" spans="1:23" ht="24" customHeight="1">
      <c r="A4" s="150" t="s">
        <v>96</v>
      </c>
      <c r="B4" s="151">
        <v>104213920</v>
      </c>
      <c r="C4" s="151"/>
      <c r="D4" s="151">
        <v>141091552.94368491</v>
      </c>
      <c r="E4" s="151">
        <v>5277646</v>
      </c>
      <c r="F4" s="151">
        <v>117410030</v>
      </c>
      <c r="G4" s="151">
        <v>161154601</v>
      </c>
      <c r="H4" s="151"/>
      <c r="I4" s="151">
        <v>138079731</v>
      </c>
      <c r="S4" s="79"/>
      <c r="U4" s="59"/>
    </row>
    <row r="5" spans="1:23" ht="24" customHeight="1">
      <c r="A5" s="150" t="s">
        <v>82</v>
      </c>
      <c r="B5" s="151">
        <v>108457739</v>
      </c>
      <c r="C5" s="151"/>
      <c r="D5" s="151">
        <v>276404835.89851886</v>
      </c>
      <c r="E5" s="151">
        <v>-10511239</v>
      </c>
      <c r="F5" s="151">
        <v>103453187</v>
      </c>
      <c r="G5" s="151">
        <v>100201540</v>
      </c>
      <c r="H5" s="151"/>
      <c r="I5" s="151">
        <v>102559727</v>
      </c>
      <c r="U5" s="59"/>
      <c r="W5" s="79"/>
    </row>
    <row r="6" spans="1:23" ht="24" customHeight="1">
      <c r="A6" s="150" t="s">
        <v>88</v>
      </c>
      <c r="B6" s="151">
        <v>75298111</v>
      </c>
      <c r="C6" s="151">
        <v>569733984</v>
      </c>
      <c r="D6" s="151">
        <v>75298111</v>
      </c>
      <c r="E6" s="151"/>
      <c r="F6" s="151">
        <v>75298111</v>
      </c>
      <c r="G6" s="151">
        <v>75298111</v>
      </c>
      <c r="H6" s="151">
        <v>817997958</v>
      </c>
      <c r="I6" s="151">
        <v>75298111</v>
      </c>
      <c r="U6" s="59"/>
    </row>
    <row r="7" spans="1:23" ht="24" customHeight="1">
      <c r="A7" s="150" t="s">
        <v>92</v>
      </c>
      <c r="B7" s="151">
        <v>167086632</v>
      </c>
      <c r="C7" s="151"/>
      <c r="D7" s="151">
        <v>165229387</v>
      </c>
      <c r="E7" s="151"/>
      <c r="F7" s="151">
        <v>145064293.00999999</v>
      </c>
      <c r="G7" s="151">
        <v>134112934</v>
      </c>
      <c r="H7" s="151"/>
      <c r="I7" s="151">
        <v>155245596</v>
      </c>
    </row>
    <row r="8" spans="1:23" ht="24" customHeight="1">
      <c r="A8" s="150" t="s">
        <v>91</v>
      </c>
      <c r="B8" s="151">
        <v>20612766</v>
      </c>
      <c r="C8" s="151"/>
      <c r="D8" s="151">
        <v>20612766</v>
      </c>
      <c r="E8" s="151"/>
      <c r="F8" s="151">
        <v>20612766</v>
      </c>
      <c r="G8" s="151">
        <v>20612766</v>
      </c>
      <c r="H8" s="151"/>
      <c r="I8" s="151">
        <v>20612766</v>
      </c>
    </row>
    <row r="9" spans="1:23" ht="24" customHeight="1">
      <c r="A9" s="161" t="s">
        <v>165</v>
      </c>
      <c r="B9" s="162">
        <f t="shared" ref="B9:I9" si="0">SUM(B3:B8)</f>
        <v>4133830134</v>
      </c>
      <c r="C9" s="162">
        <f t="shared" si="0"/>
        <v>569733984</v>
      </c>
      <c r="D9" s="162">
        <f t="shared" si="0"/>
        <v>5456439903.2791491</v>
      </c>
      <c r="E9" s="162">
        <f t="shared" si="0"/>
        <v>152927596</v>
      </c>
      <c r="F9" s="162">
        <f t="shared" si="0"/>
        <v>4520432781.0100002</v>
      </c>
      <c r="G9" s="162">
        <f t="shared" si="0"/>
        <v>5878209082</v>
      </c>
      <c r="H9" s="162">
        <f t="shared" si="0"/>
        <v>817997958</v>
      </c>
      <c r="I9" s="162">
        <f t="shared" si="0"/>
        <v>5177993128</v>
      </c>
    </row>
    <row r="10" spans="1:23" ht="24" customHeight="1">
      <c r="A10" s="150" t="s">
        <v>95</v>
      </c>
      <c r="B10" s="151">
        <v>35405393</v>
      </c>
      <c r="C10" s="151"/>
      <c r="D10" s="151">
        <v>56114587.299243592</v>
      </c>
      <c r="E10" s="151">
        <v>3161077</v>
      </c>
      <c r="F10" s="151">
        <v>42844413</v>
      </c>
      <c r="G10" s="151">
        <v>67426217</v>
      </c>
      <c r="H10" s="151"/>
      <c r="I10" s="151">
        <v>54459535.789843313</v>
      </c>
    </row>
    <row r="11" spans="1:23" ht="24" customHeight="1">
      <c r="A11" s="150" t="s">
        <v>87</v>
      </c>
      <c r="B11" s="151">
        <v>119741607</v>
      </c>
      <c r="C11" s="151"/>
      <c r="D11" s="151">
        <v>126443277</v>
      </c>
      <c r="E11" s="151"/>
      <c r="F11" s="151">
        <v>108239647</v>
      </c>
      <c r="G11" s="151">
        <v>109837887</v>
      </c>
      <c r="H11" s="151"/>
      <c r="I11" s="151">
        <v>115193489</v>
      </c>
    </row>
    <row r="12" spans="1:23" ht="24" customHeight="1">
      <c r="A12" s="150" t="s">
        <v>166</v>
      </c>
      <c r="B12" s="151">
        <v>286364921</v>
      </c>
      <c r="C12" s="151"/>
      <c r="D12" s="151">
        <v>64530072</v>
      </c>
      <c r="E12" s="151"/>
      <c r="F12" s="151">
        <v>66925844</v>
      </c>
      <c r="G12" s="151">
        <v>254054447</v>
      </c>
      <c r="H12" s="151"/>
      <c r="I12" s="151">
        <v>86009064</v>
      </c>
    </row>
    <row r="13" spans="1:23" ht="24" customHeight="1">
      <c r="A13" s="161" t="s">
        <v>165</v>
      </c>
      <c r="B13" s="162">
        <f t="shared" ref="B13:I13" si="1">SUM(B10:B12)</f>
        <v>441511921</v>
      </c>
      <c r="C13" s="162">
        <f t="shared" si="1"/>
        <v>0</v>
      </c>
      <c r="D13" s="162">
        <f t="shared" si="1"/>
        <v>247087936.2992436</v>
      </c>
      <c r="E13" s="162">
        <f t="shared" si="1"/>
        <v>3161077</v>
      </c>
      <c r="F13" s="162">
        <f t="shared" si="1"/>
        <v>218009904</v>
      </c>
      <c r="G13" s="162">
        <f t="shared" si="1"/>
        <v>431318551</v>
      </c>
      <c r="H13" s="162">
        <f t="shared" si="1"/>
        <v>0</v>
      </c>
      <c r="I13" s="162">
        <f t="shared" si="1"/>
        <v>255662088.78984332</v>
      </c>
    </row>
    <row r="14" spans="1:23" ht="24" customHeight="1">
      <c r="A14" s="154" t="s">
        <v>36</v>
      </c>
      <c r="B14" s="155">
        <f t="shared" ref="B14:I14" si="2">SUM(B13,B9)</f>
        <v>4575342055</v>
      </c>
      <c r="C14" s="155">
        <f t="shared" si="2"/>
        <v>569733984</v>
      </c>
      <c r="D14" s="155">
        <f t="shared" si="2"/>
        <v>5703527839.578393</v>
      </c>
      <c r="E14" s="155">
        <f t="shared" si="2"/>
        <v>156088673</v>
      </c>
      <c r="F14" s="155">
        <f t="shared" si="2"/>
        <v>4738442685.0100002</v>
      </c>
      <c r="G14" s="155">
        <f t="shared" si="2"/>
        <v>6309527633</v>
      </c>
      <c r="H14" s="155">
        <f t="shared" si="2"/>
        <v>817997958</v>
      </c>
      <c r="I14" s="155">
        <f t="shared" si="2"/>
        <v>5433655216.7898436</v>
      </c>
    </row>
    <row r="15" spans="1:23" ht="24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40"/>
      <c r="P15" s="39"/>
    </row>
    <row r="16" spans="1:23" ht="24" customHeight="1">
      <c r="A16" s="250" t="s">
        <v>199</v>
      </c>
      <c r="B16" s="250"/>
      <c r="C16" s="250"/>
      <c r="D16" s="250"/>
      <c r="E16" s="250"/>
      <c r="F16" s="250"/>
      <c r="G16" s="250"/>
      <c r="H16" s="250"/>
      <c r="I16" s="250"/>
      <c r="J16" s="38"/>
      <c r="K16" s="38"/>
      <c r="L16" s="38"/>
      <c r="M16" s="38"/>
      <c r="N16" s="39"/>
      <c r="O16" s="40"/>
      <c r="P16" s="39"/>
    </row>
    <row r="17" spans="1:14" ht="24" customHeight="1">
      <c r="A17" s="158" t="s">
        <v>79</v>
      </c>
      <c r="B17" s="159" t="s">
        <v>193</v>
      </c>
      <c r="C17" s="159" t="s">
        <v>198</v>
      </c>
      <c r="D17" s="159" t="s">
        <v>193</v>
      </c>
      <c r="E17" s="159" t="s">
        <v>36</v>
      </c>
      <c r="F17" s="159" t="s">
        <v>80</v>
      </c>
      <c r="G17" s="159" t="s">
        <v>89</v>
      </c>
      <c r="H17" s="159" t="s">
        <v>181</v>
      </c>
      <c r="I17" s="160" t="s">
        <v>163</v>
      </c>
      <c r="M17" s="80"/>
    </row>
    <row r="18" spans="1:14" ht="24" customHeight="1">
      <c r="A18" s="150" t="s">
        <v>81</v>
      </c>
      <c r="B18" s="151">
        <v>-18058635</v>
      </c>
      <c r="C18" s="151">
        <v>3549301990</v>
      </c>
      <c r="D18" s="151">
        <v>991216328</v>
      </c>
      <c r="E18" s="151">
        <f t="shared" ref="E18:E22" si="3">+SUM(B3:I3,B18:D18)</f>
        <v>27248205809.436947</v>
      </c>
      <c r="F18" s="152">
        <v>20</v>
      </c>
      <c r="G18" s="152">
        <f>+F18/100*E18</f>
        <v>5449641161.8873901</v>
      </c>
      <c r="H18" s="152">
        <f>547927252.355833*6</f>
        <v>3287563514.1349983</v>
      </c>
      <c r="I18" s="153">
        <f t="shared" ref="I18:I22" si="4">+G18-H18</f>
        <v>2162077647.7523918</v>
      </c>
      <c r="J18" s="80"/>
      <c r="K18" s="80"/>
      <c r="L18" s="80"/>
    </row>
    <row r="19" spans="1:14" ht="24" customHeight="1">
      <c r="A19" s="150" t="s">
        <v>96</v>
      </c>
      <c r="B19" s="151">
        <v>-789002</v>
      </c>
      <c r="C19" s="151">
        <v>104179297</v>
      </c>
      <c r="D19" s="151">
        <v>55863374</v>
      </c>
      <c r="E19" s="151">
        <f t="shared" si="3"/>
        <v>826481149.94368494</v>
      </c>
      <c r="F19" s="152">
        <v>100</v>
      </c>
      <c r="G19" s="152">
        <f t="shared" ref="G19:G23" si="5">+F19/100*E19</f>
        <v>826481149.94368494</v>
      </c>
      <c r="H19" s="152">
        <f>74831390.0133334*6</f>
        <v>448988340.0800004</v>
      </c>
      <c r="I19" s="153">
        <f t="shared" si="4"/>
        <v>377492809.86368454</v>
      </c>
      <c r="J19" s="80"/>
      <c r="K19" s="80"/>
      <c r="L19" s="80"/>
    </row>
    <row r="20" spans="1:14" ht="24" customHeight="1">
      <c r="A20" s="150" t="s">
        <v>82</v>
      </c>
      <c r="B20" s="151">
        <v>3718039</v>
      </c>
      <c r="C20" s="151">
        <v>104540404.35360938</v>
      </c>
      <c r="D20" s="151">
        <v>-55421815</v>
      </c>
      <c r="E20" s="151">
        <f t="shared" si="3"/>
        <v>733402418.25212812</v>
      </c>
      <c r="F20" s="152">
        <v>20</v>
      </c>
      <c r="G20" s="152">
        <f t="shared" si="5"/>
        <v>146680483.65042564</v>
      </c>
      <c r="H20" s="152">
        <f>18399358.9441667*6</f>
        <v>110396153.6650002</v>
      </c>
      <c r="I20" s="153">
        <f t="shared" si="4"/>
        <v>36284329.985425442</v>
      </c>
      <c r="J20" s="80"/>
      <c r="K20" s="80"/>
      <c r="L20" s="80"/>
    </row>
    <row r="21" spans="1:14" ht="24" customHeight="1">
      <c r="A21" s="150" t="s">
        <v>88</v>
      </c>
      <c r="B21" s="151">
        <v>-1482064</v>
      </c>
      <c r="C21" s="151">
        <v>75298111</v>
      </c>
      <c r="D21" s="151"/>
      <c r="E21" s="151">
        <f t="shared" si="3"/>
        <v>1838038544</v>
      </c>
      <c r="F21" s="152">
        <v>20</v>
      </c>
      <c r="G21" s="152">
        <f t="shared" si="5"/>
        <v>367607708.80000001</v>
      </c>
      <c r="H21" s="152">
        <f>31016714.0041667*6</f>
        <v>186100284.02500021</v>
      </c>
      <c r="I21" s="153">
        <f t="shared" si="4"/>
        <v>181507424.7749998</v>
      </c>
      <c r="J21" s="60"/>
      <c r="K21" s="60"/>
      <c r="L21" s="60"/>
      <c r="M21" s="60"/>
      <c r="N21" s="62"/>
    </row>
    <row r="22" spans="1:14" ht="24" customHeight="1">
      <c r="A22" s="150" t="s">
        <v>92</v>
      </c>
      <c r="B22" s="151"/>
      <c r="C22" s="151">
        <v>129830489</v>
      </c>
      <c r="D22" s="151"/>
      <c r="E22" s="151">
        <f t="shared" si="3"/>
        <v>896569331.00999999</v>
      </c>
      <c r="F22" s="152">
        <v>20</v>
      </c>
      <c r="G22" s="152">
        <f t="shared" si="5"/>
        <v>179313866.20200002</v>
      </c>
      <c r="H22" s="152">
        <f>15254583.6016667*6</f>
        <v>91527501.610000193</v>
      </c>
      <c r="I22" s="153">
        <f t="shared" si="4"/>
        <v>87786364.591999829</v>
      </c>
      <c r="J22" s="59"/>
      <c r="K22" s="59"/>
      <c r="L22" s="59"/>
      <c r="M22" s="61"/>
      <c r="N22" s="63"/>
    </row>
    <row r="23" spans="1:14" ht="24" customHeight="1">
      <c r="A23" s="150" t="s">
        <v>91</v>
      </c>
      <c r="B23" s="151"/>
      <c r="C23" s="151">
        <v>20612766</v>
      </c>
      <c r="D23" s="151"/>
      <c r="E23" s="151">
        <f>+SUM(B8:I8,B23:D23)</f>
        <v>123676596</v>
      </c>
      <c r="F23" s="152">
        <v>20</v>
      </c>
      <c r="G23" s="152">
        <f t="shared" si="5"/>
        <v>24735319.200000003</v>
      </c>
      <c r="H23" s="152">
        <f>3269074.79916667*6</f>
        <v>19614448.79500002</v>
      </c>
      <c r="I23" s="153">
        <f>+G23-H23</f>
        <v>5120870.4049999826</v>
      </c>
    </row>
    <row r="24" spans="1:14" ht="24" customHeight="1">
      <c r="A24" s="161" t="s">
        <v>165</v>
      </c>
      <c r="B24" s="162">
        <f>SUM(B18:B23)</f>
        <v>-16611662</v>
      </c>
      <c r="C24" s="162">
        <f>SUM(C18:C23)</f>
        <v>3983763057.3536096</v>
      </c>
      <c r="D24" s="162">
        <f>SUM(D18:D23)</f>
        <v>991657887</v>
      </c>
      <c r="E24" s="162">
        <f t="shared" ref="E24" si="6">SUM(E18:E23)</f>
        <v>31666373848.642757</v>
      </c>
      <c r="F24" s="163"/>
      <c r="G24" s="164">
        <f>SUM(G18:G23)</f>
        <v>6994459689.6835003</v>
      </c>
      <c r="H24" s="164">
        <f>SUM(H18:H23)</f>
        <v>4144190242.3099995</v>
      </c>
      <c r="I24" s="165">
        <f>SUM(I18:I23)</f>
        <v>2850269447.3735018</v>
      </c>
    </row>
    <row r="25" spans="1:14" ht="24" customHeight="1">
      <c r="A25" s="150" t="s">
        <v>95</v>
      </c>
      <c r="B25" s="151">
        <v>-40129</v>
      </c>
      <c r="C25" s="151">
        <v>34076599</v>
      </c>
      <c r="D25" s="151">
        <v>22672727</v>
      </c>
      <c r="E25" s="151">
        <f t="shared" ref="E25:E27" si="7">+SUM(B10:I10,B25:D25)</f>
        <v>316120420.08908689</v>
      </c>
      <c r="F25" s="152">
        <v>100</v>
      </c>
      <c r="G25" s="152">
        <f>+F25/100*E25</f>
        <v>316120420.08908689</v>
      </c>
      <c r="H25" s="152"/>
      <c r="I25" s="153"/>
    </row>
    <row r="26" spans="1:14" ht="24" customHeight="1">
      <c r="A26" s="150" t="s">
        <v>87</v>
      </c>
      <c r="B26" s="151"/>
      <c r="C26" s="151">
        <v>143525028</v>
      </c>
      <c r="D26" s="151"/>
      <c r="E26" s="151">
        <f t="shared" si="7"/>
        <v>722980935</v>
      </c>
      <c r="F26" s="152">
        <v>20</v>
      </c>
      <c r="G26" s="152">
        <f>+F26/100*E26</f>
        <v>144596187</v>
      </c>
      <c r="H26" s="152"/>
      <c r="I26" s="153"/>
    </row>
    <row r="27" spans="1:14" ht="24" customHeight="1">
      <c r="A27" s="150" t="s">
        <v>166</v>
      </c>
      <c r="B27" s="151"/>
      <c r="C27" s="151">
        <v>138358273</v>
      </c>
      <c r="D27" s="151"/>
      <c r="E27" s="151">
        <f t="shared" si="7"/>
        <v>896242621</v>
      </c>
      <c r="F27" s="152">
        <v>20</v>
      </c>
      <c r="G27" s="152">
        <f t="shared" ref="G27" si="8">+F27/100*E27</f>
        <v>179248524.20000002</v>
      </c>
      <c r="H27" s="152"/>
      <c r="I27" s="153"/>
    </row>
    <row r="28" spans="1:14" ht="24" customHeight="1">
      <c r="A28" s="161" t="s">
        <v>165</v>
      </c>
      <c r="B28" s="162">
        <f>SUM(B25:B27)</f>
        <v>-40129</v>
      </c>
      <c r="C28" s="162">
        <f>SUM(C25:C27)</f>
        <v>315959900</v>
      </c>
      <c r="D28" s="162">
        <f>SUM(D25:D27)</f>
        <v>22672727</v>
      </c>
      <c r="E28" s="162">
        <f>SUM(E25:E27)</f>
        <v>1935343976.089087</v>
      </c>
      <c r="F28" s="163"/>
      <c r="G28" s="164">
        <f>SUM(G25:G27)</f>
        <v>639965131.28908694</v>
      </c>
      <c r="H28" s="163"/>
      <c r="I28" s="165"/>
    </row>
    <row r="29" spans="1:14" ht="24" customHeight="1">
      <c r="A29" s="154" t="s">
        <v>36</v>
      </c>
      <c r="B29" s="155">
        <f>SUM(B28,B24)</f>
        <v>-16651791</v>
      </c>
      <c r="C29" s="155">
        <f>SUM(C28,C24)</f>
        <v>4299722957.3536091</v>
      </c>
      <c r="D29" s="155">
        <f>SUM(D28,D24)</f>
        <v>1014330614</v>
      </c>
      <c r="E29" s="155">
        <f>SUM(E28,E24)</f>
        <v>33601717824.731846</v>
      </c>
      <c r="F29" s="156"/>
      <c r="G29" s="156">
        <f>SUM(G28,G24)</f>
        <v>7634424820.9725876</v>
      </c>
      <c r="H29" s="156">
        <f>SUM(H28,H24)</f>
        <v>4144190242.3099995</v>
      </c>
      <c r="I29" s="157">
        <f>SUM(I28,I24)</f>
        <v>2850269447.3735018</v>
      </c>
    </row>
    <row r="30" spans="1:14" ht="26.25" customHeight="1"/>
  </sheetData>
  <mergeCells count="3">
    <mergeCell ref="J1:Q1"/>
    <mergeCell ref="A16:I16"/>
    <mergeCell ref="A1:I1"/>
  </mergeCells>
  <pageMargins left="0.31496062992125984" right="0.31496062992125984" top="0.19685039370078741" bottom="0.35433070866141736" header="0.15748031496062992" footer="0.31496062992125984"/>
  <pageSetup scale="85" orientation="landscape" r:id="rId1"/>
  <headerFooter>
    <oddHeader>&amp;LANEXO 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1086"/>
  <sheetViews>
    <sheetView showGridLines="0" workbookViewId="0">
      <selection activeCell="L57" sqref="L57"/>
    </sheetView>
  </sheetViews>
  <sheetFormatPr baseColWidth="10" defaultColWidth="11.42578125" defaultRowHeight="12.75"/>
  <cols>
    <col min="1" max="1" width="3" style="213" bestFit="1" customWidth="1"/>
    <col min="2" max="2" width="25.28515625" style="214" customWidth="1"/>
    <col min="3" max="12" width="15" style="214" customWidth="1"/>
    <col min="13" max="16384" width="11.42578125" style="213"/>
  </cols>
  <sheetData>
    <row r="1" spans="1:12">
      <c r="B1" s="251" t="s">
        <v>169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2" spans="1:12">
      <c r="B2" s="252" t="s">
        <v>204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12" ht="17.45" customHeight="1">
      <c r="B3" s="251" t="s">
        <v>222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 ht="17.45" customHeight="1">
      <c r="B4" s="219" t="s">
        <v>207</v>
      </c>
      <c r="C4" s="219"/>
      <c r="D4" s="219"/>
      <c r="E4" s="219"/>
      <c r="F4" s="219"/>
      <c r="G4" s="217"/>
      <c r="H4" s="217"/>
      <c r="I4" s="217"/>
      <c r="J4" s="217"/>
      <c r="K4" s="217"/>
      <c r="L4" s="217"/>
    </row>
    <row r="5" spans="1:12" ht="48">
      <c r="A5" s="41"/>
      <c r="B5" s="168" t="s">
        <v>0</v>
      </c>
      <c r="C5" s="245" t="s">
        <v>141</v>
      </c>
      <c r="D5" s="246" t="s">
        <v>142</v>
      </c>
      <c r="E5" s="246" t="s">
        <v>143</v>
      </c>
      <c r="F5" s="246" t="s">
        <v>144</v>
      </c>
      <c r="G5" s="246" t="s">
        <v>145</v>
      </c>
      <c r="H5" s="246" t="s">
        <v>146</v>
      </c>
      <c r="I5" s="246" t="s">
        <v>147</v>
      </c>
      <c r="J5" s="246" t="s">
        <v>221</v>
      </c>
      <c r="K5" s="246" t="s">
        <v>212</v>
      </c>
      <c r="L5" s="169" t="s">
        <v>36</v>
      </c>
    </row>
    <row r="6" spans="1:12">
      <c r="A6" s="85">
        <v>15</v>
      </c>
      <c r="B6" s="220" t="s">
        <v>1</v>
      </c>
      <c r="C6" s="65">
        <v>5943229.7578828111</v>
      </c>
      <c r="D6" s="65">
        <v>876065.95193987759</v>
      </c>
      <c r="E6" s="65">
        <v>13122788.628196318</v>
      </c>
      <c r="F6" s="65">
        <v>170649.5090802403</v>
      </c>
      <c r="G6" s="65">
        <v>344689.63802028645</v>
      </c>
      <c r="H6" s="65">
        <v>184763.66494970248</v>
      </c>
      <c r="I6" s="65">
        <v>29170.385892783797</v>
      </c>
      <c r="J6" s="65">
        <v>85252.559956907426</v>
      </c>
      <c r="K6" s="65">
        <v>24612.835034524345</v>
      </c>
      <c r="L6" s="166">
        <f>SUM(C6:K6)</f>
        <v>20781222.930953451</v>
      </c>
    </row>
    <row r="7" spans="1:12">
      <c r="A7" s="85">
        <v>11</v>
      </c>
      <c r="B7" s="221" t="s">
        <v>2</v>
      </c>
      <c r="C7" s="65">
        <v>10900470.635013193</v>
      </c>
      <c r="D7" s="65">
        <v>1591658.8247312249</v>
      </c>
      <c r="E7" s="65">
        <v>3338691.4123430764</v>
      </c>
      <c r="F7" s="65">
        <v>319374.07027677016</v>
      </c>
      <c r="G7" s="65">
        <v>614467.70719885605</v>
      </c>
      <c r="H7" s="65">
        <v>338218.31415987137</v>
      </c>
      <c r="I7" s="65">
        <v>55054.470084531989</v>
      </c>
      <c r="J7" s="65">
        <v>119904.17420257357</v>
      </c>
      <c r="K7" s="65">
        <v>21277.28900021363</v>
      </c>
      <c r="L7" s="166">
        <f t="shared" ref="L7:L56" si="0">SUM(C7:K7)</f>
        <v>17299116.897010311</v>
      </c>
    </row>
    <row r="8" spans="1:12">
      <c r="A8" s="85">
        <v>12</v>
      </c>
      <c r="B8" s="221" t="s">
        <v>132</v>
      </c>
      <c r="C8" s="65">
        <v>11987364.522486025</v>
      </c>
      <c r="D8" s="65">
        <v>1766508.9901240401</v>
      </c>
      <c r="E8" s="65">
        <v>1639877.7733450003</v>
      </c>
      <c r="F8" s="65">
        <v>344396.64877942723</v>
      </c>
      <c r="G8" s="65">
        <v>707752.19623133016</v>
      </c>
      <c r="H8" s="65">
        <v>377416.61588911607</v>
      </c>
      <c r="I8" s="65">
        <v>59083.488019826866</v>
      </c>
      <c r="J8" s="65">
        <v>93239.972810183608</v>
      </c>
      <c r="K8" s="65">
        <v>1022.5530175944497</v>
      </c>
      <c r="L8" s="166">
        <f t="shared" si="0"/>
        <v>16976662.760702543</v>
      </c>
    </row>
    <row r="9" spans="1:12">
      <c r="A9" s="85">
        <v>13</v>
      </c>
      <c r="B9" s="221" t="s">
        <v>3</v>
      </c>
      <c r="C9" s="65">
        <v>36341688.841946639</v>
      </c>
      <c r="D9" s="65">
        <v>5447410.1451181034</v>
      </c>
      <c r="E9" s="65">
        <v>4674068.8136806889</v>
      </c>
      <c r="F9" s="65">
        <v>1005244.5216505198</v>
      </c>
      <c r="G9" s="65">
        <v>2322553.3294674824</v>
      </c>
      <c r="H9" s="65">
        <v>1173397.439797515</v>
      </c>
      <c r="I9" s="65">
        <v>170722.52002777261</v>
      </c>
      <c r="J9" s="65">
        <v>845729.64661464817</v>
      </c>
      <c r="K9" s="65">
        <v>1292027.211972212</v>
      </c>
      <c r="L9" s="166">
        <f t="shared" si="0"/>
        <v>53272842.470275581</v>
      </c>
    </row>
    <row r="10" spans="1:12">
      <c r="A10" s="85">
        <v>14</v>
      </c>
      <c r="B10" s="221" t="s">
        <v>133</v>
      </c>
      <c r="C10" s="65">
        <v>41010857.450050578</v>
      </c>
      <c r="D10" s="65">
        <v>6029626.4844511067</v>
      </c>
      <c r="E10" s="65">
        <v>7779505.8697868614</v>
      </c>
      <c r="F10" s="65">
        <v>1184129.4389663041</v>
      </c>
      <c r="G10" s="65">
        <v>2377725.6853016396</v>
      </c>
      <c r="H10" s="65">
        <v>1280648.6742297974</v>
      </c>
      <c r="I10" s="65">
        <v>203152.55278805702</v>
      </c>
      <c r="J10" s="65">
        <v>521451.42409740586</v>
      </c>
      <c r="K10" s="65">
        <v>163140.68456944349</v>
      </c>
      <c r="L10" s="166">
        <f t="shared" si="0"/>
        <v>60550238.264241189</v>
      </c>
    </row>
    <row r="11" spans="1:12">
      <c r="A11" s="85">
        <v>17</v>
      </c>
      <c r="B11" s="221" t="s">
        <v>4</v>
      </c>
      <c r="C11" s="65">
        <v>381716955.04277796</v>
      </c>
      <c r="D11" s="65">
        <v>58965118.211634785</v>
      </c>
      <c r="E11" s="65">
        <v>11503496.555706702</v>
      </c>
      <c r="F11" s="65">
        <v>9819931.2050103918</v>
      </c>
      <c r="G11" s="65">
        <v>27940550.428862836</v>
      </c>
      <c r="H11" s="65">
        <v>12946430.734081618</v>
      </c>
      <c r="I11" s="65">
        <v>1636259.2151285128</v>
      </c>
      <c r="J11" s="65">
        <v>15209179.037213895</v>
      </c>
      <c r="K11" s="65">
        <v>21344142.73632599</v>
      </c>
      <c r="L11" s="166">
        <f t="shared" si="0"/>
        <v>541082063.1667428</v>
      </c>
    </row>
    <row r="12" spans="1:12">
      <c r="A12" s="85">
        <v>16</v>
      </c>
      <c r="B12" s="221" t="s">
        <v>5</v>
      </c>
      <c r="C12" s="65">
        <v>43748701.463059038</v>
      </c>
      <c r="D12" s="65">
        <v>6344736.3741238164</v>
      </c>
      <c r="E12" s="65">
        <v>1999681.1413430809</v>
      </c>
      <c r="F12" s="65">
        <v>1300106.3561608451</v>
      </c>
      <c r="G12" s="65">
        <v>2387393.1534417723</v>
      </c>
      <c r="H12" s="65">
        <v>1345351.4248303319</v>
      </c>
      <c r="I12" s="65">
        <v>224987.51315054606</v>
      </c>
      <c r="J12" s="65">
        <v>445317.81819834671</v>
      </c>
      <c r="K12" s="65">
        <v>2185.8028467861932</v>
      </c>
      <c r="L12" s="166">
        <f t="shared" si="0"/>
        <v>57798461.047154561</v>
      </c>
    </row>
    <row r="13" spans="1:12">
      <c r="A13" s="85">
        <v>18</v>
      </c>
      <c r="B13" s="221" t="s">
        <v>6</v>
      </c>
      <c r="C13" s="65">
        <v>11155227.132778712</v>
      </c>
      <c r="D13" s="65">
        <v>1747069.1600264085</v>
      </c>
      <c r="E13" s="65">
        <v>34965189.278893843</v>
      </c>
      <c r="F13" s="65">
        <v>276971.91605610255</v>
      </c>
      <c r="G13" s="65">
        <v>740579.14289872383</v>
      </c>
      <c r="H13" s="65">
        <v>341513.46786958911</v>
      </c>
      <c r="I13" s="65">
        <v>43808.145685024327</v>
      </c>
      <c r="J13" s="65">
        <v>160410.58445097902</v>
      </c>
      <c r="K13" s="65">
        <v>48980.165148491098</v>
      </c>
      <c r="L13" s="166">
        <f t="shared" si="0"/>
        <v>49479748.993807875</v>
      </c>
    </row>
    <row r="14" spans="1:12">
      <c r="A14" s="85">
        <v>19</v>
      </c>
      <c r="B14" s="221" t="s">
        <v>117</v>
      </c>
      <c r="C14" s="65">
        <v>81528882.046925515</v>
      </c>
      <c r="D14" s="65">
        <v>12200988.148730434</v>
      </c>
      <c r="E14" s="65">
        <v>3596765.7532426841</v>
      </c>
      <c r="F14" s="65">
        <v>2263513.8774024099</v>
      </c>
      <c r="G14" s="65">
        <v>5151379.1732730614</v>
      </c>
      <c r="H14" s="65">
        <v>2618447.1618274245</v>
      </c>
      <c r="I14" s="65">
        <v>384483.60721992032</v>
      </c>
      <c r="J14" s="65">
        <v>2738278.814204107</v>
      </c>
      <c r="K14" s="65">
        <v>1750298.3243712662</v>
      </c>
      <c r="L14" s="166">
        <f t="shared" si="0"/>
        <v>112233036.90719682</v>
      </c>
    </row>
    <row r="15" spans="1:12">
      <c r="A15" s="85">
        <v>20</v>
      </c>
      <c r="B15" s="221" t="s">
        <v>118</v>
      </c>
      <c r="C15" s="65">
        <v>32352785.994766302</v>
      </c>
      <c r="D15" s="65">
        <v>5311750.5460573118</v>
      </c>
      <c r="E15" s="65">
        <v>4833650.3629227644</v>
      </c>
      <c r="F15" s="65">
        <v>699557.94738059712</v>
      </c>
      <c r="G15" s="65">
        <v>2997885.1315412056</v>
      </c>
      <c r="H15" s="65">
        <v>1206297.799671547</v>
      </c>
      <c r="I15" s="65">
        <v>110370.72502412995</v>
      </c>
      <c r="J15" s="65">
        <v>2455211.1728453217</v>
      </c>
      <c r="K15" s="65">
        <v>862563.52290781704</v>
      </c>
      <c r="L15" s="166">
        <f t="shared" si="0"/>
        <v>50830073.203116991</v>
      </c>
    </row>
    <row r="16" spans="1:12">
      <c r="A16" s="85">
        <v>23</v>
      </c>
      <c r="B16" s="221" t="s">
        <v>119</v>
      </c>
      <c r="C16" s="65">
        <v>20526392.848901782</v>
      </c>
      <c r="D16" s="65">
        <v>3093569.8076643012</v>
      </c>
      <c r="E16" s="65">
        <v>3081489.8489647517</v>
      </c>
      <c r="F16" s="65">
        <v>560687.0959580231</v>
      </c>
      <c r="G16" s="65">
        <v>1346124.0919597999</v>
      </c>
      <c r="H16" s="65">
        <v>668818.04115573957</v>
      </c>
      <c r="I16" s="65">
        <v>94924.093361309497</v>
      </c>
      <c r="J16" s="65">
        <v>272540.79499612428</v>
      </c>
      <c r="K16" s="65">
        <v>22952.601315871027</v>
      </c>
      <c r="L16" s="166">
        <f t="shared" si="0"/>
        <v>29667499.224277705</v>
      </c>
    </row>
    <row r="17" spans="1:12">
      <c r="A17" s="85">
        <v>21</v>
      </c>
      <c r="B17" s="221" t="s">
        <v>7</v>
      </c>
      <c r="C17" s="65">
        <v>36988102.817623086</v>
      </c>
      <c r="D17" s="65">
        <v>5421629.5819642814</v>
      </c>
      <c r="E17" s="65">
        <v>3064471.4936739057</v>
      </c>
      <c r="F17" s="65">
        <v>1074961.8109235356</v>
      </c>
      <c r="G17" s="65">
        <v>2126323.363652268</v>
      </c>
      <c r="H17" s="65">
        <v>1154755.3312257142</v>
      </c>
      <c r="I17" s="65">
        <v>184942.22526227869</v>
      </c>
      <c r="J17" s="65">
        <v>357920.4090017862</v>
      </c>
      <c r="K17" s="65">
        <v>70995.030683536723</v>
      </c>
      <c r="L17" s="166">
        <f t="shared" si="0"/>
        <v>50444102.064010397</v>
      </c>
    </row>
    <row r="18" spans="1:12">
      <c r="A18" s="85">
        <v>22</v>
      </c>
      <c r="B18" s="221" t="s">
        <v>120</v>
      </c>
      <c r="C18" s="65">
        <v>32119541.180279899</v>
      </c>
      <c r="D18" s="65">
        <v>5087548.8054659348</v>
      </c>
      <c r="E18" s="65">
        <v>5017020.3007850749</v>
      </c>
      <c r="F18" s="65">
        <v>773069.32620392821</v>
      </c>
      <c r="G18" s="65">
        <v>2615898.8430719562</v>
      </c>
      <c r="H18" s="65">
        <v>1137583.5454584993</v>
      </c>
      <c r="I18" s="65">
        <v>126517.06332317507</v>
      </c>
      <c r="J18" s="65">
        <v>1680039.8115887044</v>
      </c>
      <c r="K18" s="65">
        <v>5695013.9500598153</v>
      </c>
      <c r="L18" s="166">
        <f t="shared" si="0"/>
        <v>54252232.826236986</v>
      </c>
    </row>
    <row r="19" spans="1:12">
      <c r="A19" s="85">
        <v>25</v>
      </c>
      <c r="B19" s="221" t="s">
        <v>8</v>
      </c>
      <c r="C19" s="65">
        <v>98409502.583929047</v>
      </c>
      <c r="D19" s="65">
        <v>14270390.859757219</v>
      </c>
      <c r="E19" s="65">
        <v>946510.30922258843</v>
      </c>
      <c r="F19" s="65">
        <v>2925192.0979911364</v>
      </c>
      <c r="G19" s="65">
        <v>5353905.414760109</v>
      </c>
      <c r="H19" s="65">
        <v>3020933.1683887364</v>
      </c>
      <c r="I19" s="65">
        <v>506043.45543633727</v>
      </c>
      <c r="J19" s="65">
        <v>1039037.9859409465</v>
      </c>
      <c r="K19" s="65">
        <v>3972.1841646579151</v>
      </c>
      <c r="L19" s="166">
        <f t="shared" si="0"/>
        <v>126475488.05959079</v>
      </c>
    </row>
    <row r="20" spans="1:12">
      <c r="A20" s="85">
        <v>27</v>
      </c>
      <c r="B20" s="221" t="s">
        <v>9</v>
      </c>
      <c r="C20" s="65">
        <v>12853400.570364572</v>
      </c>
      <c r="D20" s="65">
        <v>1875178.2160736809</v>
      </c>
      <c r="E20" s="65">
        <v>1197858.6950399335</v>
      </c>
      <c r="F20" s="65">
        <v>377287.10786033358</v>
      </c>
      <c r="G20" s="65">
        <v>721526.53693500371</v>
      </c>
      <c r="H20" s="65">
        <v>398339.51730983844</v>
      </c>
      <c r="I20" s="65">
        <v>65070.023152020294</v>
      </c>
      <c r="J20" s="65">
        <v>85427.09767257137</v>
      </c>
      <c r="K20" s="65">
        <v>2564.5200688573191</v>
      </c>
      <c r="L20" s="166">
        <f t="shared" si="0"/>
        <v>17576652.284476809</v>
      </c>
    </row>
    <row r="21" spans="1:12">
      <c r="A21" s="85">
        <v>26</v>
      </c>
      <c r="B21" s="221" t="s">
        <v>121</v>
      </c>
      <c r="C21" s="65">
        <v>8957144.968310535</v>
      </c>
      <c r="D21" s="65">
        <v>1305220.8629446803</v>
      </c>
      <c r="E21" s="65">
        <v>3265902.3327150648</v>
      </c>
      <c r="F21" s="65">
        <v>263566.37788294622</v>
      </c>
      <c r="G21" s="65">
        <v>499354.1304226442</v>
      </c>
      <c r="H21" s="65">
        <v>276925.96330035361</v>
      </c>
      <c r="I21" s="65">
        <v>45478.480678084765</v>
      </c>
      <c r="J21" s="65">
        <v>101002.11129406755</v>
      </c>
      <c r="K21" s="65">
        <v>102186.21616433446</v>
      </c>
      <c r="L21" s="166">
        <f t="shared" si="0"/>
        <v>14816781.443712711</v>
      </c>
    </row>
    <row r="22" spans="1:12">
      <c r="A22" s="85">
        <v>29</v>
      </c>
      <c r="B22" s="221" t="s">
        <v>10</v>
      </c>
      <c r="C22" s="65">
        <v>79776321.654505044</v>
      </c>
      <c r="D22" s="65">
        <v>11676299.638073985</v>
      </c>
      <c r="E22" s="65">
        <v>2320284.1253523417</v>
      </c>
      <c r="F22" s="65">
        <v>2325727.2374323895</v>
      </c>
      <c r="G22" s="65">
        <v>4550903.1615598826</v>
      </c>
      <c r="H22" s="65">
        <v>2484339.736455441</v>
      </c>
      <c r="I22" s="65">
        <v>400416.48817102285</v>
      </c>
      <c r="J22" s="65">
        <v>1094435.9062193499</v>
      </c>
      <c r="K22" s="65">
        <v>39190.809509185267</v>
      </c>
      <c r="L22" s="166">
        <f t="shared" si="0"/>
        <v>104667918.75727864</v>
      </c>
    </row>
    <row r="23" spans="1:12">
      <c r="A23" s="85">
        <v>30</v>
      </c>
      <c r="B23" s="221" t="s">
        <v>122</v>
      </c>
      <c r="C23" s="65">
        <v>156950681.59493467</v>
      </c>
      <c r="D23" s="65">
        <v>24661686.141022708</v>
      </c>
      <c r="E23" s="65">
        <v>5046659.4342532493</v>
      </c>
      <c r="F23" s="65">
        <v>3861358.362632886</v>
      </c>
      <c r="G23" s="65">
        <v>12455628.450050404</v>
      </c>
      <c r="H23" s="65">
        <v>5515730.4369984511</v>
      </c>
      <c r="I23" s="65">
        <v>637164.61879387067</v>
      </c>
      <c r="J23" s="65">
        <v>9025968.0195019655</v>
      </c>
      <c r="K23" s="65">
        <v>14364551.196779329</v>
      </c>
      <c r="L23" s="166">
        <f t="shared" si="0"/>
        <v>232519428.25496757</v>
      </c>
    </row>
    <row r="24" spans="1:12">
      <c r="A24" s="85">
        <v>32</v>
      </c>
      <c r="B24" s="221" t="s">
        <v>11</v>
      </c>
      <c r="C24" s="65">
        <v>18651127.71590082</v>
      </c>
      <c r="D24" s="65">
        <v>2826423.0479507833</v>
      </c>
      <c r="E24" s="65">
        <v>10902805.846362688</v>
      </c>
      <c r="F24" s="65">
        <v>502927.78300325974</v>
      </c>
      <c r="G24" s="65">
        <v>1246579.219447775</v>
      </c>
      <c r="H24" s="65">
        <v>610320.1635544328</v>
      </c>
      <c r="I24" s="65">
        <v>84743.008343190377</v>
      </c>
      <c r="J24" s="65">
        <v>237701.63694635808</v>
      </c>
      <c r="K24" s="65">
        <v>40097.246716891852</v>
      </c>
      <c r="L24" s="166">
        <f t="shared" si="0"/>
        <v>35102725.668226197</v>
      </c>
    </row>
    <row r="25" spans="1:12">
      <c r="A25" s="85">
        <v>33</v>
      </c>
      <c r="B25" s="221" t="s">
        <v>12</v>
      </c>
      <c r="C25" s="65">
        <v>301855953.31781143</v>
      </c>
      <c r="D25" s="65">
        <v>46872340.674258031</v>
      </c>
      <c r="E25" s="65">
        <v>11051132.433301616</v>
      </c>
      <c r="F25" s="65">
        <v>7663042.49916959</v>
      </c>
      <c r="G25" s="65">
        <v>21828612.542385709</v>
      </c>
      <c r="H25" s="65">
        <v>10047371.455023803</v>
      </c>
      <c r="I25" s="65">
        <v>1260651.0904272771</v>
      </c>
      <c r="J25" s="65">
        <v>11361890.663072959</v>
      </c>
      <c r="K25" s="65">
        <v>9106377.6334295664</v>
      </c>
      <c r="L25" s="166">
        <f t="shared" si="0"/>
        <v>421047372.30888003</v>
      </c>
    </row>
    <row r="26" spans="1:12">
      <c r="A26" s="85">
        <v>34</v>
      </c>
      <c r="B26" s="221" t="s">
        <v>123</v>
      </c>
      <c r="C26" s="65">
        <v>32242044.305221219</v>
      </c>
      <c r="D26" s="65">
        <v>4756773.4672174007</v>
      </c>
      <c r="E26" s="65">
        <v>3249366.6623076247</v>
      </c>
      <c r="F26" s="65">
        <v>924012.87374934554</v>
      </c>
      <c r="G26" s="65">
        <v>1910954.6238380268</v>
      </c>
      <c r="H26" s="65">
        <v>1015709.5066878214</v>
      </c>
      <c r="I26" s="65">
        <v>158370.12359115851</v>
      </c>
      <c r="J26" s="65">
        <v>414822.74431344355</v>
      </c>
      <c r="K26" s="65">
        <v>80834.38698731942</v>
      </c>
      <c r="L26" s="166">
        <f t="shared" si="0"/>
        <v>44752888.693913355</v>
      </c>
    </row>
    <row r="27" spans="1:12">
      <c r="A27" s="85">
        <v>35</v>
      </c>
      <c r="B27" s="221" t="s">
        <v>13</v>
      </c>
      <c r="C27" s="65">
        <v>5620805.2671751548</v>
      </c>
      <c r="D27" s="65">
        <v>839603.58588553977</v>
      </c>
      <c r="E27" s="65">
        <v>2886468.57842481</v>
      </c>
      <c r="F27" s="65">
        <v>156711.43972351091</v>
      </c>
      <c r="G27" s="65">
        <v>354079.57521581557</v>
      </c>
      <c r="H27" s="65">
        <v>180731.86255444153</v>
      </c>
      <c r="I27" s="65">
        <v>26679.092519052982</v>
      </c>
      <c r="J27" s="65">
        <v>76418.272583228609</v>
      </c>
      <c r="K27" s="65">
        <v>2282.2370277336067</v>
      </c>
      <c r="L27" s="166">
        <f t="shared" si="0"/>
        <v>10143779.911109289</v>
      </c>
    </row>
    <row r="28" spans="1:12">
      <c r="A28" s="85">
        <v>61</v>
      </c>
      <c r="B28" s="221" t="s">
        <v>14</v>
      </c>
      <c r="C28" s="65">
        <v>22435168.017964553</v>
      </c>
      <c r="D28" s="65">
        <v>3266728.3299940024</v>
      </c>
      <c r="E28" s="65">
        <v>2452591.2050653929</v>
      </c>
      <c r="F28" s="65">
        <v>661216.98298807978</v>
      </c>
      <c r="G28" s="65">
        <v>1246704.9525525628</v>
      </c>
      <c r="H28" s="65">
        <v>693089.96815522644</v>
      </c>
      <c r="I28" s="65">
        <v>114148.06207505945</v>
      </c>
      <c r="J28" s="65">
        <v>212356.13432471751</v>
      </c>
      <c r="K28" s="65">
        <v>1818.9869326598375</v>
      </c>
      <c r="L28" s="166">
        <f t="shared" si="0"/>
        <v>31083822.640052259</v>
      </c>
    </row>
    <row r="29" spans="1:12">
      <c r="A29" s="85">
        <v>36</v>
      </c>
      <c r="B29" s="221" t="s">
        <v>15</v>
      </c>
      <c r="C29" s="65">
        <v>37670010.969496764</v>
      </c>
      <c r="D29" s="65">
        <v>5943561.7469546096</v>
      </c>
      <c r="E29" s="65">
        <v>3262427.9179160423</v>
      </c>
      <c r="F29" s="65">
        <v>916480.24132450367</v>
      </c>
      <c r="G29" s="65">
        <v>2971594.7979647378</v>
      </c>
      <c r="H29" s="65">
        <v>1307934.9244845877</v>
      </c>
      <c r="I29" s="65">
        <v>149717.6149420882</v>
      </c>
      <c r="J29" s="65">
        <v>2345272.8220074321</v>
      </c>
      <c r="K29" s="65">
        <v>1361864.5576406629</v>
      </c>
      <c r="L29" s="166">
        <f t="shared" si="0"/>
        <v>55928865.592731439</v>
      </c>
    </row>
    <row r="30" spans="1:12">
      <c r="A30" s="85">
        <v>28</v>
      </c>
      <c r="B30" s="221" t="s">
        <v>16</v>
      </c>
      <c r="C30" s="65">
        <v>419098106.18255615</v>
      </c>
      <c r="D30" s="65">
        <v>63100226.371633776</v>
      </c>
      <c r="E30" s="65">
        <v>10842161.231313778</v>
      </c>
      <c r="F30" s="65">
        <v>11474175.849673001</v>
      </c>
      <c r="G30" s="65">
        <v>27635209.167077526</v>
      </c>
      <c r="H30" s="65">
        <v>13734623.538029524</v>
      </c>
      <c r="I30" s="65">
        <v>1947926.559982222</v>
      </c>
      <c r="J30" s="65">
        <v>14076734.695904078</v>
      </c>
      <c r="K30" s="65">
        <v>9784306.71696648</v>
      </c>
      <c r="L30" s="166">
        <f t="shared" si="0"/>
        <v>571693470.31313658</v>
      </c>
    </row>
    <row r="31" spans="1:12">
      <c r="A31" s="85">
        <v>37</v>
      </c>
      <c r="B31" s="221" t="s">
        <v>124</v>
      </c>
      <c r="C31" s="65">
        <v>8788660.4514803756</v>
      </c>
      <c r="D31" s="65">
        <v>1273490.1062824072</v>
      </c>
      <c r="E31" s="65">
        <v>3498773.6732408353</v>
      </c>
      <c r="F31" s="65">
        <v>261644.61330954445</v>
      </c>
      <c r="G31" s="65">
        <v>475747.63413267391</v>
      </c>
      <c r="H31" s="65">
        <v>269285.03470523446</v>
      </c>
      <c r="I31" s="65">
        <v>45272.270663418109</v>
      </c>
      <c r="J31" s="65">
        <v>73405.26342153571</v>
      </c>
      <c r="K31" s="65">
        <v>871.10058545251627</v>
      </c>
      <c r="L31" s="166">
        <f t="shared" si="0"/>
        <v>14687150.147821477</v>
      </c>
    </row>
    <row r="32" spans="1:12">
      <c r="A32" s="85">
        <v>39</v>
      </c>
      <c r="B32" s="221" t="s">
        <v>17</v>
      </c>
      <c r="C32" s="65">
        <v>15470144.937264299</v>
      </c>
      <c r="D32" s="65">
        <v>2252080.5079490501</v>
      </c>
      <c r="E32" s="65">
        <v>2205726.8556286129</v>
      </c>
      <c r="F32" s="65">
        <v>456147.91141754278</v>
      </c>
      <c r="G32" s="65">
        <v>858526.05967309128</v>
      </c>
      <c r="H32" s="65">
        <v>477692.06853034871</v>
      </c>
      <c r="I32" s="65">
        <v>78752.305074396514</v>
      </c>
      <c r="J32" s="65">
        <v>359337.21379356354</v>
      </c>
      <c r="K32" s="65">
        <v>17049.958224689013</v>
      </c>
      <c r="L32" s="166">
        <f t="shared" si="0"/>
        <v>22175457.817555591</v>
      </c>
    </row>
    <row r="33" spans="1:12">
      <c r="A33" s="85">
        <v>38</v>
      </c>
      <c r="B33" s="221" t="s">
        <v>18</v>
      </c>
      <c r="C33" s="65">
        <v>9476845.0116972178</v>
      </c>
      <c r="D33" s="65">
        <v>1397450.7103728126</v>
      </c>
      <c r="E33" s="65">
        <v>3159138.248195244</v>
      </c>
      <c r="F33" s="65">
        <v>271887.38722471055</v>
      </c>
      <c r="G33" s="65">
        <v>562289.03604679042</v>
      </c>
      <c r="H33" s="65">
        <v>299034.26115368842</v>
      </c>
      <c r="I33" s="65">
        <v>46642.533905872624</v>
      </c>
      <c r="J33" s="65">
        <v>78562.099890861718</v>
      </c>
      <c r="K33" s="65">
        <v>26890.87416769113</v>
      </c>
      <c r="L33" s="166">
        <f t="shared" si="0"/>
        <v>15318740.16265489</v>
      </c>
    </row>
    <row r="34" spans="1:12">
      <c r="A34" s="85">
        <v>40</v>
      </c>
      <c r="B34" s="221" t="s">
        <v>19</v>
      </c>
      <c r="C34" s="65">
        <v>12684807.997671083</v>
      </c>
      <c r="D34" s="65">
        <v>1855563.3725682802</v>
      </c>
      <c r="E34" s="65">
        <v>2873538.8050177055</v>
      </c>
      <c r="F34" s="65">
        <v>370233.70410723577</v>
      </c>
      <c r="G34" s="65">
        <v>721609.81098691153</v>
      </c>
      <c r="H34" s="65">
        <v>394683.32360103627</v>
      </c>
      <c r="I34" s="65">
        <v>63760.975464296818</v>
      </c>
      <c r="J34" s="65">
        <v>181106.40685412369</v>
      </c>
      <c r="K34" s="65">
        <v>34312.689401351221</v>
      </c>
      <c r="L34" s="166">
        <f t="shared" si="0"/>
        <v>19179617.085672021</v>
      </c>
    </row>
    <row r="35" spans="1:12">
      <c r="A35" s="85">
        <v>41</v>
      </c>
      <c r="B35" s="221" t="s">
        <v>20</v>
      </c>
      <c r="C35" s="65">
        <v>12397247.567945279</v>
      </c>
      <c r="D35" s="65">
        <v>1822492.618811721</v>
      </c>
      <c r="E35" s="65">
        <v>2026051.0837645133</v>
      </c>
      <c r="F35" s="65">
        <v>358039.86396994937</v>
      </c>
      <c r="G35" s="65">
        <v>723034.50362766848</v>
      </c>
      <c r="H35" s="65">
        <v>388766.58323862718</v>
      </c>
      <c r="I35" s="65">
        <v>61501.096289858295</v>
      </c>
      <c r="J35" s="65">
        <v>122928.52756318971</v>
      </c>
      <c r="K35" s="65">
        <v>1244.8837636453941</v>
      </c>
      <c r="L35" s="166">
        <f t="shared" si="0"/>
        <v>17901306.72897445</v>
      </c>
    </row>
    <row r="36" spans="1:12">
      <c r="A36" s="85">
        <v>42</v>
      </c>
      <c r="B36" s="221" t="s">
        <v>125</v>
      </c>
      <c r="C36" s="65">
        <v>187227133.97332579</v>
      </c>
      <c r="D36" s="65">
        <v>29580829.524217218</v>
      </c>
      <c r="E36" s="65">
        <v>6362378.7845205748</v>
      </c>
      <c r="F36" s="65">
        <v>4538263.8587754173</v>
      </c>
      <c r="G36" s="65">
        <v>14773216.099780913</v>
      </c>
      <c r="H36" s="65">
        <v>6486329.0760436552</v>
      </c>
      <c r="I36" s="65">
        <v>739318.5716996931</v>
      </c>
      <c r="J36" s="65">
        <v>10569873.30310531</v>
      </c>
      <c r="K36" s="65">
        <v>6055841.6416039625</v>
      </c>
      <c r="L36" s="166">
        <f t="shared" si="0"/>
        <v>266333184.83307251</v>
      </c>
    </row>
    <row r="37" spans="1:12">
      <c r="A37" s="85">
        <v>43</v>
      </c>
      <c r="B37" s="221" t="s">
        <v>21</v>
      </c>
      <c r="C37" s="65">
        <v>25987245.990121163</v>
      </c>
      <c r="D37" s="65">
        <v>3929218.8319182345</v>
      </c>
      <c r="E37" s="65">
        <v>9000908.013697736</v>
      </c>
      <c r="F37" s="65">
        <v>704524.94671707414</v>
      </c>
      <c r="G37" s="65">
        <v>1713302.0907023586</v>
      </c>
      <c r="H37" s="65">
        <v>845206.17029395665</v>
      </c>
      <c r="I37" s="65">
        <v>118795.01852836189</v>
      </c>
      <c r="J37" s="65">
        <v>286563.73731022497</v>
      </c>
      <c r="K37" s="65">
        <v>40288.951525381846</v>
      </c>
      <c r="L37" s="166">
        <f t="shared" si="0"/>
        <v>42626053.750814505</v>
      </c>
    </row>
    <row r="38" spans="1:12">
      <c r="A38" s="85">
        <v>44</v>
      </c>
      <c r="B38" s="221" t="s">
        <v>22</v>
      </c>
      <c r="C38" s="65">
        <v>81160727.409985855</v>
      </c>
      <c r="D38" s="65">
        <v>11928254.701359911</v>
      </c>
      <c r="E38" s="65">
        <v>2801994.3392351368</v>
      </c>
      <c r="F38" s="65">
        <v>2345242.3144996227</v>
      </c>
      <c r="G38" s="65">
        <v>4725880.4268411836</v>
      </c>
      <c r="H38" s="65">
        <v>2543516.6606123205</v>
      </c>
      <c r="I38" s="65">
        <v>402875.47596667876</v>
      </c>
      <c r="J38" s="65">
        <v>1860540.1884983813</v>
      </c>
      <c r="K38" s="65">
        <v>507742.4966890479</v>
      </c>
      <c r="L38" s="166">
        <f t="shared" si="0"/>
        <v>108276774.01368813</v>
      </c>
    </row>
    <row r="39" spans="1:12">
      <c r="A39" s="85">
        <v>46</v>
      </c>
      <c r="B39" s="221" t="s">
        <v>126</v>
      </c>
      <c r="C39" s="65">
        <v>16889261.736672048</v>
      </c>
      <c r="D39" s="65">
        <v>2470130.8269675681</v>
      </c>
      <c r="E39" s="65">
        <v>5684465.356441007</v>
      </c>
      <c r="F39" s="65">
        <v>493153.12143383187</v>
      </c>
      <c r="G39" s="65">
        <v>953218.82225272816</v>
      </c>
      <c r="H39" s="65">
        <v>522924.53753325634</v>
      </c>
      <c r="I39" s="65">
        <v>84837.859181993903</v>
      </c>
      <c r="J39" s="65">
        <v>170853.07909090287</v>
      </c>
      <c r="K39" s="65">
        <v>412361.25848965085</v>
      </c>
      <c r="L39" s="166">
        <f t="shared" si="0"/>
        <v>27681206.598062985</v>
      </c>
    </row>
    <row r="40" spans="1:12">
      <c r="A40" s="85">
        <v>49</v>
      </c>
      <c r="B40" s="221" t="s">
        <v>23</v>
      </c>
      <c r="C40" s="65">
        <v>12812421.152368514</v>
      </c>
      <c r="D40" s="65">
        <v>1773916.6250968145</v>
      </c>
      <c r="E40" s="65">
        <v>3894524.3106694785</v>
      </c>
      <c r="F40" s="65">
        <v>416348.23811218375</v>
      </c>
      <c r="G40" s="65">
        <v>531628.5503017779</v>
      </c>
      <c r="H40" s="65">
        <v>365253.29203120811</v>
      </c>
      <c r="I40" s="65">
        <v>73502.424162602649</v>
      </c>
      <c r="J40" s="65">
        <v>42693.690580324292</v>
      </c>
      <c r="K40" s="65">
        <v>3646.5853006422667</v>
      </c>
      <c r="L40" s="166">
        <f t="shared" si="0"/>
        <v>19913934.868623551</v>
      </c>
    </row>
    <row r="41" spans="1:12">
      <c r="A41" s="85">
        <v>48</v>
      </c>
      <c r="B41" s="221" t="s">
        <v>24</v>
      </c>
      <c r="C41" s="65">
        <v>18904074.788988173</v>
      </c>
      <c r="D41" s="65">
        <v>2806592.8486247603</v>
      </c>
      <c r="E41" s="65">
        <v>860078.9884755509</v>
      </c>
      <c r="F41" s="65">
        <v>534320.94291470048</v>
      </c>
      <c r="G41" s="65">
        <v>1156684.324282951</v>
      </c>
      <c r="H41" s="65">
        <v>601985.16515142005</v>
      </c>
      <c r="I41" s="65">
        <v>91281.75331539812</v>
      </c>
      <c r="J41" s="65">
        <v>251321.91535649085</v>
      </c>
      <c r="K41" s="65">
        <v>191.21460248104646</v>
      </c>
      <c r="L41" s="166">
        <f t="shared" si="0"/>
        <v>25206531.941711925</v>
      </c>
    </row>
    <row r="42" spans="1:12">
      <c r="A42" s="85">
        <v>47</v>
      </c>
      <c r="B42" s="221" t="s">
        <v>25</v>
      </c>
      <c r="C42" s="65">
        <v>25583045.638102248</v>
      </c>
      <c r="D42" s="65">
        <v>3787469.6402291609</v>
      </c>
      <c r="E42" s="65">
        <v>3526943.1379204616</v>
      </c>
      <c r="F42" s="65">
        <v>727630.60105866764</v>
      </c>
      <c r="G42" s="65">
        <v>1542757.4825831901</v>
      </c>
      <c r="H42" s="65">
        <v>810548.88697377313</v>
      </c>
      <c r="I42" s="65">
        <v>124481.68809480095</v>
      </c>
      <c r="J42" s="65">
        <v>261876.65291738749</v>
      </c>
      <c r="K42" s="65">
        <v>24019.086205495951</v>
      </c>
      <c r="L42" s="166">
        <f t="shared" si="0"/>
        <v>36388772.814085186</v>
      </c>
    </row>
    <row r="43" spans="1:12">
      <c r="A43" s="85">
        <v>45</v>
      </c>
      <c r="B43" s="221" t="s">
        <v>26</v>
      </c>
      <c r="C43" s="65">
        <v>60719264.011277452</v>
      </c>
      <c r="D43" s="65">
        <v>9008931.512295397</v>
      </c>
      <c r="E43" s="65">
        <v>4296892.2779502003</v>
      </c>
      <c r="F43" s="65">
        <v>1718659.062043973</v>
      </c>
      <c r="G43" s="65">
        <v>3661045.9083232158</v>
      </c>
      <c r="H43" s="65">
        <v>1916089.4930252093</v>
      </c>
      <c r="I43" s="65">
        <v>293079.61471693078</v>
      </c>
      <c r="J43" s="65">
        <v>1542721.5308555015</v>
      </c>
      <c r="K43" s="65">
        <v>1732726.4546437413</v>
      </c>
      <c r="L43" s="166">
        <f t="shared" si="0"/>
        <v>84889409.865131631</v>
      </c>
    </row>
    <row r="44" spans="1:12">
      <c r="A44" s="85">
        <v>70</v>
      </c>
      <c r="B44" s="221" t="s">
        <v>27</v>
      </c>
      <c r="C44" s="65">
        <v>1391357456.0705178</v>
      </c>
      <c r="D44" s="65">
        <v>210055319.44329107</v>
      </c>
      <c r="E44" s="65">
        <v>0</v>
      </c>
      <c r="F44" s="65">
        <v>37851762.618859097</v>
      </c>
      <c r="G44" s="65">
        <v>93370428.089165896</v>
      </c>
      <c r="H44" s="65">
        <v>45970908.648812622</v>
      </c>
      <c r="I44" s="65">
        <v>6422767.8581672106</v>
      </c>
      <c r="J44" s="65">
        <v>30168459.960609943</v>
      </c>
      <c r="K44" s="65">
        <v>40023143.615439929</v>
      </c>
      <c r="L44" s="166">
        <f t="shared" si="0"/>
        <v>1855220246.3048632</v>
      </c>
    </row>
    <row r="45" spans="1:12">
      <c r="A45" s="85">
        <v>50</v>
      </c>
      <c r="B45" s="221" t="s">
        <v>127</v>
      </c>
      <c r="C45" s="65">
        <v>8531294.2694392949</v>
      </c>
      <c r="D45" s="65">
        <v>1316018.2331515795</v>
      </c>
      <c r="E45" s="65">
        <v>5688850.3017248604</v>
      </c>
      <c r="F45" s="65">
        <v>220253.91742585818</v>
      </c>
      <c r="G45" s="65">
        <v>617055.35866578866</v>
      </c>
      <c r="H45" s="65">
        <v>287354.67542389303</v>
      </c>
      <c r="I45" s="65">
        <v>36679.995668127311</v>
      </c>
      <c r="J45" s="65">
        <v>93620.082864176962</v>
      </c>
      <c r="K45" s="65">
        <v>20189.016399328848</v>
      </c>
      <c r="L45" s="166">
        <f t="shared" si="0"/>
        <v>16811315.850762907</v>
      </c>
    </row>
    <row r="46" spans="1:12">
      <c r="A46" s="85">
        <v>51</v>
      </c>
      <c r="B46" s="221" t="s">
        <v>128</v>
      </c>
      <c r="C46" s="65">
        <v>50591134.856980942</v>
      </c>
      <c r="D46" s="65">
        <v>8121688.2007185332</v>
      </c>
      <c r="E46" s="65">
        <v>4304227.7224763595</v>
      </c>
      <c r="F46" s="65">
        <v>1171899.2934028402</v>
      </c>
      <c r="G46" s="65">
        <v>4291934.7221426936</v>
      </c>
      <c r="H46" s="65">
        <v>1812794.6739407987</v>
      </c>
      <c r="I46" s="65">
        <v>188826.50534656623</v>
      </c>
      <c r="J46" s="65">
        <v>3465429.8757523652</v>
      </c>
      <c r="K46" s="65">
        <v>4104446.2215126394</v>
      </c>
      <c r="L46" s="166">
        <f t="shared" si="0"/>
        <v>78052382.072273731</v>
      </c>
    </row>
    <row r="47" spans="1:12">
      <c r="A47" s="85">
        <v>52</v>
      </c>
      <c r="B47" s="221" t="s">
        <v>129</v>
      </c>
      <c r="C47" s="65">
        <v>13980534.341802809</v>
      </c>
      <c r="D47" s="65">
        <v>2080115.9343551397</v>
      </c>
      <c r="E47" s="65">
        <v>3192060.4516763636</v>
      </c>
      <c r="F47" s="65">
        <v>393204.30662408931</v>
      </c>
      <c r="G47" s="65">
        <v>861659.57230525487</v>
      </c>
      <c r="H47" s="65">
        <v>445910.0781750246</v>
      </c>
      <c r="I47" s="65">
        <v>67076.379178921139</v>
      </c>
      <c r="J47" s="65">
        <v>187193.06182319351</v>
      </c>
      <c r="K47" s="65">
        <v>45847.34363269098</v>
      </c>
      <c r="L47" s="166">
        <f t="shared" si="0"/>
        <v>21253601.469573487</v>
      </c>
    </row>
    <row r="48" spans="1:12">
      <c r="A48" s="85">
        <v>53</v>
      </c>
      <c r="B48" s="221" t="s">
        <v>28</v>
      </c>
      <c r="C48" s="65">
        <v>14631686.797339326</v>
      </c>
      <c r="D48" s="65">
        <v>2149297.2610286642</v>
      </c>
      <c r="E48" s="65">
        <v>1862907.005446081</v>
      </c>
      <c r="F48" s="65">
        <v>423279.70530069742</v>
      </c>
      <c r="G48" s="65">
        <v>850171.06928917172</v>
      </c>
      <c r="H48" s="65">
        <v>458320.10593570344</v>
      </c>
      <c r="I48" s="65">
        <v>72739.542964812426</v>
      </c>
      <c r="J48" s="65">
        <v>119061.97370590857</v>
      </c>
      <c r="K48" s="65">
        <v>995.99622157530223</v>
      </c>
      <c r="L48" s="166">
        <f t="shared" si="0"/>
        <v>20568459.457231939</v>
      </c>
    </row>
    <row r="49" spans="1:12">
      <c r="A49" s="85">
        <v>54</v>
      </c>
      <c r="B49" s="221" t="s">
        <v>29</v>
      </c>
      <c r="C49" s="65">
        <v>41269583.161194228</v>
      </c>
      <c r="D49" s="65">
        <v>6038716.6589564625</v>
      </c>
      <c r="E49" s="65">
        <v>4484027.3073720383</v>
      </c>
      <c r="F49" s="65">
        <v>1203828.6183452418</v>
      </c>
      <c r="G49" s="65">
        <v>2341281.6099586515</v>
      </c>
      <c r="H49" s="65">
        <v>1281084.8522814272</v>
      </c>
      <c r="I49" s="65">
        <v>207142.45946637617</v>
      </c>
      <c r="J49" s="65">
        <v>789967.59216280654</v>
      </c>
      <c r="K49" s="65">
        <v>226200.00047323559</v>
      </c>
      <c r="L49" s="166">
        <f t="shared" si="0"/>
        <v>57841832.260210462</v>
      </c>
    </row>
    <row r="50" spans="1:12">
      <c r="A50" s="85">
        <v>55</v>
      </c>
      <c r="B50" s="221" t="s">
        <v>30</v>
      </c>
      <c r="C50" s="65">
        <v>52198720.674474083</v>
      </c>
      <c r="D50" s="65">
        <v>8118571.0853702445</v>
      </c>
      <c r="E50" s="65">
        <v>5951920.931238872</v>
      </c>
      <c r="F50" s="65">
        <v>1319728.0069733998</v>
      </c>
      <c r="G50" s="65">
        <v>3802578.7160634147</v>
      </c>
      <c r="H50" s="65">
        <v>1742151.5520222106</v>
      </c>
      <c r="I50" s="65">
        <v>216799.23739255284</v>
      </c>
      <c r="J50" s="65">
        <v>2144379.4663073164</v>
      </c>
      <c r="K50" s="65">
        <v>6584227.475627115</v>
      </c>
      <c r="L50" s="166">
        <f t="shared" si="0"/>
        <v>82079077.145469189</v>
      </c>
    </row>
    <row r="51" spans="1:12">
      <c r="A51" s="85">
        <v>58</v>
      </c>
      <c r="B51" s="221" t="s">
        <v>130</v>
      </c>
      <c r="C51" s="65">
        <v>386950098.99305141</v>
      </c>
      <c r="D51" s="65">
        <v>58536190.697784007</v>
      </c>
      <c r="E51" s="65">
        <v>12126958.37102212</v>
      </c>
      <c r="F51" s="65">
        <v>10477862.302834416</v>
      </c>
      <c r="G51" s="65">
        <v>25257142.851959221</v>
      </c>
      <c r="H51" s="65">
        <v>12481084.457665903</v>
      </c>
      <c r="I51" s="65">
        <v>1761432.8889740664</v>
      </c>
      <c r="J51" s="65">
        <v>9917904.0286937542</v>
      </c>
      <c r="K51" s="65">
        <v>6359030.1971344594</v>
      </c>
      <c r="L51" s="166">
        <f t="shared" si="0"/>
        <v>523867704.7891193</v>
      </c>
    </row>
    <row r="52" spans="1:12">
      <c r="A52" s="85">
        <v>31</v>
      </c>
      <c r="B52" s="221" t="s">
        <v>131</v>
      </c>
      <c r="C52" s="65">
        <v>752475299.93478453</v>
      </c>
      <c r="D52" s="65">
        <v>113943875.08183421</v>
      </c>
      <c r="E52" s="65">
        <v>23710903.299176902</v>
      </c>
      <c r="F52" s="65">
        <v>20327812.898060884</v>
      </c>
      <c r="G52" s="65">
        <v>49597526.564672776</v>
      </c>
      <c r="H52" s="65">
        <v>24403495.715432685</v>
      </c>
      <c r="I52" s="65">
        <v>3419034.7975871293</v>
      </c>
      <c r="J52" s="65">
        <v>7948852.4070951324</v>
      </c>
      <c r="K52" s="65">
        <v>28394890.126298688</v>
      </c>
      <c r="L52" s="166">
        <f t="shared" si="0"/>
        <v>1024221690.8249429</v>
      </c>
    </row>
    <row r="53" spans="1:12">
      <c r="A53" s="85">
        <v>57</v>
      </c>
      <c r="B53" s="221" t="s">
        <v>31</v>
      </c>
      <c r="C53" s="65">
        <v>201573138.47267139</v>
      </c>
      <c r="D53" s="65">
        <v>30481515.030850459</v>
      </c>
      <c r="E53" s="65">
        <v>7305334.6072130473</v>
      </c>
      <c r="F53" s="65">
        <v>5462330.7390043773</v>
      </c>
      <c r="G53" s="65">
        <v>14241446.793341041</v>
      </c>
      <c r="H53" s="65">
        <v>6901263.0758573916</v>
      </c>
      <c r="I53" s="65">
        <v>935235.26028007176</v>
      </c>
      <c r="J53" s="65">
        <v>7064000.8945764117</v>
      </c>
      <c r="K53" s="65">
        <v>11666095.748155676</v>
      </c>
      <c r="L53" s="166">
        <f t="shared" si="0"/>
        <v>285630360.62194985</v>
      </c>
    </row>
    <row r="54" spans="1:12">
      <c r="A54" s="85">
        <v>56</v>
      </c>
      <c r="B54" s="221" t="s">
        <v>32</v>
      </c>
      <c r="C54" s="65">
        <v>74817465.524839744</v>
      </c>
      <c r="D54" s="65">
        <v>11550810.567590598</v>
      </c>
      <c r="E54" s="65">
        <v>6358447.3358010035</v>
      </c>
      <c r="F54" s="65">
        <v>1927536.6612819615</v>
      </c>
      <c r="G54" s="65">
        <v>5381866.8800881002</v>
      </c>
      <c r="H54" s="65">
        <v>2505570.9325704752</v>
      </c>
      <c r="I54" s="65">
        <v>320073.80656639743</v>
      </c>
      <c r="J54" s="65">
        <v>1499341.7852139128</v>
      </c>
      <c r="K54" s="65">
        <v>6703959.2222667206</v>
      </c>
      <c r="L54" s="166">
        <f t="shared" si="0"/>
        <v>111065072.71621892</v>
      </c>
    </row>
    <row r="55" spans="1:12">
      <c r="A55" s="85">
        <v>59</v>
      </c>
      <c r="B55" s="221" t="s">
        <v>33</v>
      </c>
      <c r="C55" s="65">
        <v>15645937.287324537</v>
      </c>
      <c r="D55" s="65">
        <v>2428196.3917379556</v>
      </c>
      <c r="E55" s="65">
        <v>14937780.826422928</v>
      </c>
      <c r="F55" s="65">
        <v>397761.93476013909</v>
      </c>
      <c r="G55" s="65">
        <v>1111108.7289431316</v>
      </c>
      <c r="H55" s="65">
        <v>513878.18574808107</v>
      </c>
      <c r="I55" s="65">
        <v>65195.611397415058</v>
      </c>
      <c r="J55" s="65">
        <v>170329.61421911576</v>
      </c>
      <c r="K55" s="65">
        <v>49614.290506670855</v>
      </c>
      <c r="L55" s="166">
        <f t="shared" si="0"/>
        <v>35319802.871059969</v>
      </c>
    </row>
    <row r="56" spans="1:12">
      <c r="A56" s="85">
        <v>60</v>
      </c>
      <c r="B56" s="221" t="s">
        <v>34</v>
      </c>
      <c r="C56" s="65">
        <v>16677463.957709163</v>
      </c>
      <c r="D56" s="65">
        <v>2496299.6128398045</v>
      </c>
      <c r="E56" s="65">
        <v>19964721.96151245</v>
      </c>
      <c r="F56" s="65">
        <v>462833.44150313694</v>
      </c>
      <c r="G56" s="65">
        <v>1036192.6367380293</v>
      </c>
      <c r="H56" s="65">
        <v>529042.23915093637</v>
      </c>
      <c r="I56" s="65">
        <v>78328.646866796291</v>
      </c>
      <c r="J56" s="65">
        <v>170318.33777608638</v>
      </c>
      <c r="K56" s="65">
        <v>23438.351486784242</v>
      </c>
      <c r="L56" s="166">
        <f t="shared" si="0"/>
        <v>41438639.185583189</v>
      </c>
    </row>
    <row r="57" spans="1:12">
      <c r="A57" s="41"/>
      <c r="B57" s="167" t="s">
        <v>35</v>
      </c>
      <c r="C57" s="222">
        <f t="shared" ref="C57:L57" si="1">SUM(C6:C56)</f>
        <v>5449641161.8916922</v>
      </c>
      <c r="D57" s="222">
        <f t="shared" si="1"/>
        <v>826481150.00000012</v>
      </c>
      <c r="E57" s="222">
        <f t="shared" si="1"/>
        <v>316120419.99999994</v>
      </c>
      <c r="F57" s="222">
        <f t="shared" si="1"/>
        <v>146680483.5872407</v>
      </c>
      <c r="G57" s="222">
        <f t="shared" si="1"/>
        <v>367607708.80000001</v>
      </c>
      <c r="H57" s="222">
        <f t="shared" si="1"/>
        <v>179313866.20199996</v>
      </c>
      <c r="I57" s="222">
        <f t="shared" si="1"/>
        <v>24735319.200000003</v>
      </c>
      <c r="J57" s="222">
        <f t="shared" si="1"/>
        <v>144596187</v>
      </c>
      <c r="K57" s="222">
        <f t="shared" si="1"/>
        <v>179248524.19999999</v>
      </c>
      <c r="L57" s="223">
        <f t="shared" si="1"/>
        <v>7634424820.8809299</v>
      </c>
    </row>
    <row r="58" spans="1:12">
      <c r="B58" s="218" t="s">
        <v>203</v>
      </c>
      <c r="D58" s="217"/>
      <c r="E58" s="217"/>
      <c r="F58" s="217"/>
      <c r="G58" s="217"/>
      <c r="H58" s="217"/>
      <c r="I58" s="217"/>
      <c r="J58" s="217"/>
      <c r="K58" s="217"/>
      <c r="L58" s="217" t="s">
        <v>202</v>
      </c>
    </row>
    <row r="59" spans="1:12" ht="16.5" customHeight="1">
      <c r="B59" s="213" t="s">
        <v>201</v>
      </c>
    </row>
    <row r="62" spans="1:12" ht="16.5" customHeight="1">
      <c r="B62" s="252"/>
      <c r="C62" s="252"/>
      <c r="D62" s="252"/>
      <c r="E62" s="252"/>
      <c r="F62" s="252"/>
      <c r="G62" s="252"/>
    </row>
    <row r="63" spans="1:12">
      <c r="B63" s="252"/>
      <c r="C63" s="252"/>
      <c r="D63" s="252"/>
      <c r="E63" s="252"/>
      <c r="F63" s="252"/>
      <c r="G63" s="252"/>
    </row>
    <row r="64" spans="1:12">
      <c r="B64" s="252"/>
      <c r="C64" s="252"/>
      <c r="D64" s="252"/>
      <c r="E64" s="252"/>
      <c r="F64" s="252"/>
      <c r="G64" s="252"/>
    </row>
    <row r="65" spans="2:7">
      <c r="B65" s="251"/>
      <c r="C65" s="253"/>
      <c r="D65" s="253"/>
      <c r="E65" s="253"/>
      <c r="F65" s="253"/>
      <c r="G65" s="251"/>
    </row>
    <row r="66" spans="2:7">
      <c r="B66" s="251"/>
      <c r="C66" s="253"/>
      <c r="D66" s="253"/>
      <c r="E66" s="253"/>
      <c r="F66" s="253"/>
      <c r="G66" s="251"/>
    </row>
    <row r="67" spans="2:7">
      <c r="B67" s="217"/>
      <c r="G67" s="217"/>
    </row>
    <row r="68" spans="2:7">
      <c r="B68" s="217"/>
      <c r="G68" s="217"/>
    </row>
    <row r="69" spans="2:7">
      <c r="B69" s="217"/>
      <c r="G69" s="217"/>
    </row>
    <row r="70" spans="2:7">
      <c r="B70" s="217"/>
      <c r="G70" s="217"/>
    </row>
    <row r="71" spans="2:7">
      <c r="B71" s="217"/>
      <c r="G71" s="217"/>
    </row>
    <row r="72" spans="2:7">
      <c r="B72" s="217"/>
      <c r="G72" s="217"/>
    </row>
    <row r="73" spans="2:7">
      <c r="B73" s="217"/>
      <c r="G73" s="217"/>
    </row>
    <row r="74" spans="2:7">
      <c r="B74" s="217"/>
      <c r="G74" s="217"/>
    </row>
    <row r="75" spans="2:7">
      <c r="B75" s="217"/>
      <c r="G75" s="217"/>
    </row>
    <row r="76" spans="2:7">
      <c r="B76" s="217"/>
      <c r="G76" s="217"/>
    </row>
    <row r="77" spans="2:7">
      <c r="B77" s="217"/>
      <c r="G77" s="217"/>
    </row>
    <row r="78" spans="2:7">
      <c r="B78" s="217"/>
      <c r="G78" s="217"/>
    </row>
    <row r="79" spans="2:7">
      <c r="B79" s="217"/>
      <c r="G79" s="217"/>
    </row>
    <row r="80" spans="2:7">
      <c r="B80" s="217"/>
      <c r="G80" s="217"/>
    </row>
    <row r="81" spans="2:7">
      <c r="B81" s="217"/>
      <c r="G81" s="217"/>
    </row>
    <row r="82" spans="2:7">
      <c r="B82" s="217"/>
      <c r="G82" s="217"/>
    </row>
    <row r="83" spans="2:7">
      <c r="B83" s="217"/>
      <c r="G83" s="217"/>
    </row>
    <row r="84" spans="2:7">
      <c r="B84" s="217"/>
      <c r="G84" s="217"/>
    </row>
    <row r="85" spans="2:7">
      <c r="B85" s="217"/>
      <c r="G85" s="217"/>
    </row>
    <row r="86" spans="2:7">
      <c r="B86" s="217"/>
      <c r="G86" s="217"/>
    </row>
    <row r="87" spans="2:7">
      <c r="B87" s="217"/>
      <c r="G87" s="217"/>
    </row>
    <row r="88" spans="2:7">
      <c r="B88" s="217"/>
      <c r="G88" s="217"/>
    </row>
    <row r="89" spans="2:7">
      <c r="B89" s="217"/>
      <c r="G89" s="217"/>
    </row>
    <row r="90" spans="2:7">
      <c r="B90" s="217"/>
      <c r="G90" s="217"/>
    </row>
    <row r="91" spans="2:7">
      <c r="B91" s="217"/>
      <c r="G91" s="217"/>
    </row>
    <row r="92" spans="2:7">
      <c r="B92" s="217"/>
      <c r="G92" s="217"/>
    </row>
    <row r="93" spans="2:7">
      <c r="B93" s="217"/>
      <c r="G93" s="217"/>
    </row>
    <row r="94" spans="2:7">
      <c r="B94" s="217"/>
      <c r="G94" s="217"/>
    </row>
    <row r="95" spans="2:7">
      <c r="B95" s="217"/>
      <c r="G95" s="217"/>
    </row>
    <row r="96" spans="2:7">
      <c r="B96" s="217"/>
      <c r="G96" s="217"/>
    </row>
    <row r="97" spans="2:7">
      <c r="B97" s="217"/>
      <c r="G97" s="217"/>
    </row>
    <row r="98" spans="2:7">
      <c r="B98" s="217"/>
      <c r="G98" s="217"/>
    </row>
    <row r="99" spans="2:7">
      <c r="B99" s="217"/>
      <c r="G99" s="217"/>
    </row>
    <row r="100" spans="2:7">
      <c r="B100" s="217"/>
      <c r="G100" s="217"/>
    </row>
    <row r="101" spans="2:7">
      <c r="B101" s="217"/>
      <c r="G101" s="217"/>
    </row>
    <row r="102" spans="2:7">
      <c r="B102" s="217"/>
      <c r="G102" s="217"/>
    </row>
    <row r="103" spans="2:7">
      <c r="B103" s="217"/>
      <c r="G103" s="217"/>
    </row>
    <row r="104" spans="2:7">
      <c r="B104" s="217"/>
      <c r="G104" s="217"/>
    </row>
    <row r="105" spans="2:7">
      <c r="B105" s="217"/>
      <c r="G105" s="217"/>
    </row>
    <row r="106" spans="2:7">
      <c r="B106" s="217"/>
      <c r="G106" s="217"/>
    </row>
    <row r="107" spans="2:7">
      <c r="B107" s="217"/>
      <c r="G107" s="217"/>
    </row>
    <row r="108" spans="2:7">
      <c r="B108" s="217"/>
      <c r="G108" s="217"/>
    </row>
    <row r="109" spans="2:7">
      <c r="B109" s="217"/>
      <c r="G109" s="217"/>
    </row>
    <row r="110" spans="2:7">
      <c r="B110" s="217"/>
      <c r="G110" s="217"/>
    </row>
    <row r="111" spans="2:7">
      <c r="B111" s="217"/>
      <c r="G111" s="217"/>
    </row>
    <row r="112" spans="2:7">
      <c r="B112" s="217"/>
      <c r="G112" s="217"/>
    </row>
    <row r="113" spans="2:7">
      <c r="B113" s="217"/>
      <c r="G113" s="217"/>
    </row>
    <row r="114" spans="2:7">
      <c r="B114" s="217"/>
      <c r="G114" s="217"/>
    </row>
    <row r="115" spans="2:7">
      <c r="B115" s="217"/>
      <c r="G115" s="217"/>
    </row>
    <row r="116" spans="2:7">
      <c r="B116" s="217"/>
      <c r="G116" s="217"/>
    </row>
    <row r="117" spans="2:7">
      <c r="B117" s="217"/>
      <c r="G117" s="217"/>
    </row>
    <row r="118" spans="2:7">
      <c r="B118" s="217"/>
      <c r="C118" s="217"/>
      <c r="D118" s="217"/>
      <c r="E118" s="217"/>
      <c r="F118" s="217"/>
      <c r="G118" s="217"/>
    </row>
    <row r="119" spans="2:7">
      <c r="B119" s="216"/>
      <c r="C119" s="217"/>
      <c r="D119" s="217"/>
      <c r="E119" s="217"/>
      <c r="F119" s="217"/>
      <c r="G119" s="217"/>
    </row>
    <row r="120" spans="2:7">
      <c r="B120" s="213"/>
    </row>
    <row r="1086" spans="2:2">
      <c r="B1086" s="215"/>
    </row>
  </sheetData>
  <sortState ref="A7:L56">
    <sortCondition ref="A7"/>
  </sortState>
  <mergeCells count="12">
    <mergeCell ref="G65:G66"/>
    <mergeCell ref="B62:G62"/>
    <mergeCell ref="B63:G63"/>
    <mergeCell ref="B64:G64"/>
    <mergeCell ref="B1:L1"/>
    <mergeCell ref="B2:L2"/>
    <mergeCell ref="B3:L3"/>
    <mergeCell ref="B65:B66"/>
    <mergeCell ref="C65:C66"/>
    <mergeCell ref="D65:D66"/>
    <mergeCell ref="E65:E66"/>
    <mergeCell ref="F65:F66"/>
  </mergeCells>
  <printOptions horizontalCentered="1"/>
  <pageMargins left="0.31496062992125984" right="0.31496062992125984" top="0.35433070866141736" bottom="0.35433070866141736" header="0.35433070866141736" footer="0.31496062992125984"/>
  <pageSetup scale="71" fitToWidth="0" orientation="landscape" r:id="rId1"/>
  <headerFooter>
    <oddHeader>&amp;LANEXO II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zoomScale="110" zoomScaleNormal="110" zoomScaleSheetLayoutView="100" workbookViewId="0">
      <selection activeCell="B23" sqref="B23"/>
    </sheetView>
  </sheetViews>
  <sheetFormatPr baseColWidth="10" defaultColWidth="11.42578125" defaultRowHeight="12.75"/>
  <cols>
    <col min="1" max="1" width="3" style="41" bestFit="1" customWidth="1"/>
    <col min="2" max="2" width="29.7109375" style="41" customWidth="1"/>
    <col min="3" max="3" width="14.5703125" style="68" customWidth="1"/>
    <col min="4" max="5" width="14.5703125" style="70" customWidth="1"/>
    <col min="6" max="6" width="14.5703125" style="58" customWidth="1"/>
    <col min="7" max="7" width="14.5703125" style="41" customWidth="1"/>
    <col min="8" max="12" width="14.5703125" style="58" customWidth="1"/>
    <col min="13" max="16384" width="11.42578125" style="41"/>
  </cols>
  <sheetData>
    <row r="1" spans="1:12"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2" ht="12.75" customHeight="1">
      <c r="B2" s="247" t="s">
        <v>169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2" ht="12.75" customHeight="1">
      <c r="B3" s="247" t="s">
        <v>200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</row>
    <row r="4" spans="1:12">
      <c r="B4" s="248" t="s">
        <v>205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</row>
    <row r="5" spans="1:12" ht="47.25" customHeight="1">
      <c r="B5" s="168" t="s">
        <v>140</v>
      </c>
      <c r="C5" s="245" t="s">
        <v>141</v>
      </c>
      <c r="D5" s="246" t="s">
        <v>142</v>
      </c>
      <c r="E5" s="246" t="s">
        <v>143</v>
      </c>
      <c r="F5" s="246" t="s">
        <v>144</v>
      </c>
      <c r="G5" s="246" t="s">
        <v>145</v>
      </c>
      <c r="H5" s="246" t="s">
        <v>146</v>
      </c>
      <c r="I5" s="246" t="s">
        <v>147</v>
      </c>
      <c r="J5" s="246" t="s">
        <v>221</v>
      </c>
      <c r="K5" s="246" t="s">
        <v>212</v>
      </c>
      <c r="L5" s="169" t="s">
        <v>138</v>
      </c>
    </row>
    <row r="6" spans="1:12">
      <c r="A6" s="85">
        <v>15</v>
      </c>
      <c r="B6" s="220" t="s">
        <v>1</v>
      </c>
      <c r="C6" s="65">
        <f>ROUND(+IF('PART 2025'!$I$18&lt;1,'PISO 2021'!Q4*'PART 2025'!$G$18,'PISO 2021'!J5+Copete!C5),2)</f>
        <v>5952366.6600000001</v>
      </c>
      <c r="D6" s="65">
        <f>ROUND(+IF('PART 2025'!$I$19&lt;1,'PISO 2021'!Q5*'PART 2025'!$G$19,'PISO 2021'!K5+Copete!D5),2)</f>
        <v>878482.09</v>
      </c>
      <c r="E6" s="65">
        <f>ROUND('Art.14 Frac.III'!O5,2)</f>
        <v>14061853.91</v>
      </c>
      <c r="F6" s="65">
        <f>ROUND(+IF('PART 2025'!$I$20&lt;1,'PISO 2021'!Q5*'PART 2025'!$G$20,'PISO 2021'!L5+Copete!E5),2)</f>
        <v>170920.28</v>
      </c>
      <c r="G6" s="65">
        <f>ROUND(+IF('PART 2025'!$I$21&lt;1,'PISO 2021'!Q5*'PART 2025'!$G$21,'PISO 2021'!M5+Copete!F5),2)</f>
        <v>384087.95</v>
      </c>
      <c r="H6" s="65">
        <f>ROUND(+IF('PART 2025'!$I$22&lt;1,'PISO 2021'!Q5*'PART 2025'!$G$22,'PISO 2021'!N5+Copete!G5),2)</f>
        <v>187719.47</v>
      </c>
      <c r="I6" s="65">
        <f>ROUND(+IF('PART 2025'!$I$23&lt;1,'PISO 2021'!Q5*'PART 2025'!$G$23,'PISO 2021'!O5+Copete!H5),2)</f>
        <v>29310.720000000001</v>
      </c>
      <c r="J6" s="65">
        <f>ROUND('COEF Art 14 F II'!K7,2)</f>
        <v>86466.91</v>
      </c>
      <c r="K6" s="65">
        <f>+'ISR BI'!E4</f>
        <v>19426.11</v>
      </c>
      <c r="L6" s="166">
        <f>SUM(C6:K6)</f>
        <v>21770634.099999998</v>
      </c>
    </row>
    <row r="7" spans="1:12">
      <c r="A7" s="85">
        <v>11</v>
      </c>
      <c r="B7" s="221" t="s">
        <v>2</v>
      </c>
      <c r="C7" s="65">
        <f>ROUND(+IF('PART 2025'!$I$18&lt;1,'PISO 2021'!Q5*'PART 2025'!$G$18,'PISO 2021'!J6+Copete!C6),2)</f>
        <v>10888148.529999999</v>
      </c>
      <c r="D7" s="65">
        <f>ROUND(+IF('PART 2025'!$I$19&lt;1,'PISO 2021'!Q6*'PART 2025'!$G$19,'PISO 2021'!K6+Copete!D6),2)</f>
        <v>1591698.74</v>
      </c>
      <c r="E7" s="65">
        <f>ROUND('Art.14 Frac.III'!O6,2)</f>
        <v>3067339.79</v>
      </c>
      <c r="F7" s="65">
        <f>ROUND(+IF('PART 2025'!$I$20&lt;1,'PISO 2021'!Q6*'PART 2025'!$G$20,'PISO 2021'!L6+Copete!E6),2)</f>
        <v>319378.59000000003</v>
      </c>
      <c r="G7" s="65">
        <f>ROUND(+IF('PART 2025'!$I$21&lt;1,'PISO 2021'!Q6*'PART 2025'!$G$21,'PISO 2021'!M6+Copete!F6),2)</f>
        <v>691625.58</v>
      </c>
      <c r="H7" s="65">
        <f>ROUND(+IF('PART 2025'!$I$22&lt;1,'PISO 2021'!Q6*'PART 2025'!$G$22,'PISO 2021'!N6+Copete!G6),2)</f>
        <v>338266.6</v>
      </c>
      <c r="I7" s="65">
        <f>ROUND(+IF('PART 2025'!$I$23&lt;1,'PISO 2021'!Q6*'PART 2025'!$G$23,'PISO 2021'!O6+Copete!H6),2)</f>
        <v>55056.77</v>
      </c>
      <c r="J7" s="65">
        <f>ROUND('COEF Art 14 F II'!K8,2)</f>
        <v>119924.02</v>
      </c>
      <c r="K7" s="65">
        <f>+'ISR BI'!E5</f>
        <v>17231.689999999999</v>
      </c>
      <c r="L7" s="166">
        <f t="shared" ref="L7:L56" si="0">SUM(C7:K7)</f>
        <v>17088670.309999999</v>
      </c>
    </row>
    <row r="8" spans="1:12">
      <c r="A8" s="85">
        <v>12</v>
      </c>
      <c r="B8" s="221" t="s">
        <v>132</v>
      </c>
      <c r="C8" s="65">
        <f>ROUND(+IF('PART 2025'!$I$18&lt;1,'PISO 2021'!Q6*'PART 2025'!$G$18,'PISO 2021'!J7+Copete!C7),2)</f>
        <v>11976423.18</v>
      </c>
      <c r="D8" s="65">
        <f>ROUND(+IF('PART 2025'!$I$19&lt;1,'PISO 2021'!Q7*'PART 2025'!$G$19,'PISO 2021'!K7+Copete!D7),2)</f>
        <v>1766436.61</v>
      </c>
      <c r="E8" s="65">
        <f>ROUND('Art.14 Frac.III'!O7,2)</f>
        <v>1576659.03</v>
      </c>
      <c r="F8" s="65">
        <f>ROUND(+IF('PART 2025'!$I$20&lt;1,'PISO 2021'!Q7*'PART 2025'!$G$20,'PISO 2021'!L7+Copete!E7),2)</f>
        <v>344388.55</v>
      </c>
      <c r="G8" s="65">
        <f>ROUND(+IF('PART 2025'!$I$21&lt;1,'PISO 2021'!Q7*'PART 2025'!$G$21,'PISO 2021'!M7+Copete!F7),2)</f>
        <v>772005.13</v>
      </c>
      <c r="H8" s="65">
        <f>ROUND(+IF('PART 2025'!$I$22&lt;1,'PISO 2021'!Q7*'PART 2025'!$G$22,'PISO 2021'!N7+Copete!G7),2)</f>
        <v>377327.97</v>
      </c>
      <c r="I8" s="65">
        <f>ROUND(+IF('PART 2025'!$I$23&lt;1,'PISO 2021'!Q7*'PART 2025'!$G$23,'PISO 2021'!O7+Copete!H7),2)</f>
        <v>59079.28</v>
      </c>
      <c r="J8" s="65">
        <f>ROUND('COEF Art 14 F II'!K9,2)</f>
        <v>93203.55</v>
      </c>
      <c r="K8" s="65">
        <f>+'ISR BI'!E6</f>
        <v>702.91</v>
      </c>
      <c r="L8" s="166">
        <f t="shared" si="0"/>
        <v>16966226.210000001</v>
      </c>
    </row>
    <row r="9" spans="1:12">
      <c r="A9" s="85">
        <v>13</v>
      </c>
      <c r="B9" s="221" t="s">
        <v>3</v>
      </c>
      <c r="C9" s="65">
        <f>ROUND(+IF('PART 2025'!$I$18&lt;1,'PISO 2021'!Q7*'PART 2025'!$G$18,'PISO 2021'!J8+Copete!C8),2)</f>
        <v>36335300.93</v>
      </c>
      <c r="D9" s="65">
        <f>ROUND(+IF('PART 2025'!$I$19&lt;1,'PISO 2021'!Q8*'PART 2025'!$G$19,'PISO 2021'!K8+Copete!D8),2)</f>
        <v>5448542.1699999999</v>
      </c>
      <c r="E9" s="65">
        <f>ROUND('Art.14 Frac.III'!O8,2)</f>
        <v>4535985.8099999996</v>
      </c>
      <c r="F9" s="65">
        <f>ROUND(+IF('PART 2025'!$I$20&lt;1,'PISO 2021'!Q8*'PART 2025'!$G$20,'PISO 2021'!L8+Copete!E8),2)</f>
        <v>1005372.83</v>
      </c>
      <c r="G9" s="65">
        <f>ROUND(+IF('PART 2025'!$I$21&lt;1,'PISO 2021'!Q8*'PART 2025'!$G$21,'PISO 2021'!M8+Copete!F8),2)</f>
        <v>2406434.39</v>
      </c>
      <c r="H9" s="65">
        <f>ROUND(+IF('PART 2025'!$I$22&lt;1,'PISO 2021'!Q8*'PART 2025'!$G$22,'PISO 2021'!N8+Copete!G8),2)</f>
        <v>1174762.79</v>
      </c>
      <c r="I9" s="65">
        <f>ROUND(+IF('PART 2025'!$I$23&lt;1,'PISO 2021'!Q8*'PART 2025'!$G$23,'PISO 2021'!O8+Copete!H8),2)</f>
        <v>170787.39</v>
      </c>
      <c r="J9" s="65">
        <f>ROUND('COEF Art 14 F II'!K10,2)</f>
        <v>846290.82</v>
      </c>
      <c r="K9" s="65">
        <f>+'ISR BI'!E7</f>
        <v>1192472.28</v>
      </c>
      <c r="L9" s="166">
        <f t="shared" si="0"/>
        <v>53115949.410000004</v>
      </c>
    </row>
    <row r="10" spans="1:12">
      <c r="A10" s="85">
        <v>14</v>
      </c>
      <c r="B10" s="221" t="s">
        <v>133</v>
      </c>
      <c r="C10" s="65">
        <f>ROUND(+IF('PART 2025'!$I$18&lt;1,'PISO 2021'!Q8*'PART 2025'!$G$18,'PISO 2021'!J9+Copete!C9),2)</f>
        <v>41005956.210000001</v>
      </c>
      <c r="D10" s="65">
        <f>ROUND(+IF('PART 2025'!$I$19&lt;1,'PISO 2021'!Q9*'PART 2025'!$G$19,'PISO 2021'!K9+Copete!D9),2)</f>
        <v>6035355.79</v>
      </c>
      <c r="E10" s="65">
        <f>ROUND('Art.14 Frac.III'!O9,2)</f>
        <v>8535750.6799999997</v>
      </c>
      <c r="F10" s="65">
        <f>ROUND(+IF('PART 2025'!$I$20&lt;1,'PISO 2021'!Q9*'PART 2025'!$G$20,'PISO 2021'!L9+Copete!E9),2)</f>
        <v>1184771.53</v>
      </c>
      <c r="G10" s="65">
        <f>ROUND(+IF('PART 2025'!$I$21&lt;1,'PISO 2021'!Q9*'PART 2025'!$G$21,'PISO 2021'!M9+Copete!F9),2)</f>
        <v>2634107.65</v>
      </c>
      <c r="H10" s="65">
        <f>ROUND(+IF('PART 2025'!$I$22&lt;1,'PISO 2021'!Q9*'PART 2025'!$G$22,'PISO 2021'!N9+Copete!G9),2)</f>
        <v>1287657.33</v>
      </c>
      <c r="I10" s="65">
        <f>ROUND(+IF('PART 2025'!$I$23&lt;1,'PISO 2021'!Q9*'PART 2025'!$G$23,'PISO 2021'!O9+Copete!H9),2)</f>
        <v>203485.3</v>
      </c>
      <c r="J10" s="65">
        <f>ROUND('COEF Art 14 F II'!K11,2)</f>
        <v>524330.84</v>
      </c>
      <c r="K10" s="65">
        <f>+'ISR BI'!E8</f>
        <v>173842.02</v>
      </c>
      <c r="L10" s="166">
        <f t="shared" si="0"/>
        <v>61585257.350000001</v>
      </c>
    </row>
    <row r="11" spans="1:12">
      <c r="A11" s="85">
        <v>17</v>
      </c>
      <c r="B11" s="221" t="s">
        <v>4</v>
      </c>
      <c r="C11" s="65">
        <f>ROUND(+IF('PART 2025'!$I$18&lt;1,'PISO 2021'!Q9*'PART 2025'!$G$18,'PISO 2021'!J10+Copete!C10),2)</f>
        <v>381761232.29000002</v>
      </c>
      <c r="D11" s="65">
        <f>ROUND(+IF('PART 2025'!$I$19&lt;1,'PISO 2021'!Q10*'PART 2025'!$G$19,'PISO 2021'!K10+Copete!D10),2)</f>
        <v>58935495.649999999</v>
      </c>
      <c r="E11" s="65">
        <f>ROUND('Art.14 Frac.III'!O10,2)</f>
        <v>11332631.16</v>
      </c>
      <c r="F11" s="65">
        <f>ROUND(+IF('PART 2025'!$I$20&lt;1,'PISO 2021'!Q10*'PART 2025'!$G$20,'PISO 2021'!L10+Copete!E10),2)</f>
        <v>9816633.0299999993</v>
      </c>
      <c r="G11" s="65">
        <f>ROUND(+IF('PART 2025'!$I$21&lt;1,'PISO 2021'!Q10*'PART 2025'!$G$21,'PISO 2021'!M10+Copete!F10),2)</f>
        <v>26498532.309999999</v>
      </c>
      <c r="H11" s="65">
        <f>ROUND(+IF('PART 2025'!$I$22&lt;1,'PISO 2021'!Q10*'PART 2025'!$G$22,'PISO 2021'!N10+Copete!G10),2)</f>
        <v>12909900.17</v>
      </c>
      <c r="I11" s="65">
        <f>ROUND(+IF('PART 2025'!$I$23&lt;1,'PISO 2021'!Q10*'PART 2025'!$G$23,'PISO 2021'!O10+Copete!H10),2)</f>
        <v>1634525.54</v>
      </c>
      <c r="J11" s="65">
        <f>ROUND('COEF Art 14 F II'!K12,2)</f>
        <v>15194174.529999999</v>
      </c>
      <c r="K11" s="65">
        <f>+'ISR BI'!E9</f>
        <v>21865397.199999999</v>
      </c>
      <c r="L11" s="166">
        <f t="shared" si="0"/>
        <v>539948521.88</v>
      </c>
    </row>
    <row r="12" spans="1:12">
      <c r="A12" s="85">
        <v>16</v>
      </c>
      <c r="B12" s="221" t="s">
        <v>5</v>
      </c>
      <c r="C12" s="65">
        <f>ROUND(+IF('PART 2025'!$I$18&lt;1,'PISO 2021'!Q10*'PART 2025'!$G$18,'PISO 2021'!J11+Copete!C11),2)</f>
        <v>43676646.43</v>
      </c>
      <c r="D12" s="65">
        <f>ROUND(+IF('PART 2025'!$I$19&lt;1,'PISO 2021'!Q11*'PART 2025'!$G$19,'PISO 2021'!K11+Copete!D11),2)</f>
        <v>6342573.4500000002</v>
      </c>
      <c r="E12" s="65">
        <f>ROUND('Art.14 Frac.III'!O11,2)</f>
        <v>1548862.72</v>
      </c>
      <c r="F12" s="65">
        <f>ROUND(+IF('PART 2025'!$I$20&lt;1,'PISO 2021'!Q11*'PART 2025'!$G$20,'PISO 2021'!L11+Copete!E11),2)</f>
        <v>1299864.02</v>
      </c>
      <c r="G12" s="65">
        <f>ROUND(+IF('PART 2025'!$I$21&lt;1,'PISO 2021'!Q11*'PART 2025'!$G$21,'PISO 2021'!M11+Copete!F11),2)</f>
        <v>2743924.97</v>
      </c>
      <c r="H12" s="65">
        <f>ROUND(+IF('PART 2025'!$I$22&lt;1,'PISO 2021'!Q11*'PART 2025'!$G$22,'PISO 2021'!N11+Copete!G11),2)</f>
        <v>1342704.61</v>
      </c>
      <c r="I12" s="65">
        <f>ROUND(+IF('PART 2025'!$I$23&lt;1,'PISO 2021'!Q11*'PART 2025'!$G$23,'PISO 2021'!O11+Copete!H11),2)</f>
        <v>224861.85</v>
      </c>
      <c r="J12" s="65">
        <f>ROUND('COEF Art 14 F II'!K13,2)</f>
        <v>444230.42</v>
      </c>
      <c r="K12" s="65">
        <f>+'ISR BI'!E10</f>
        <v>1501.75</v>
      </c>
      <c r="L12" s="166">
        <f t="shared" si="0"/>
        <v>57625170.220000006</v>
      </c>
    </row>
    <row r="13" spans="1:12">
      <c r="A13" s="85">
        <v>18</v>
      </c>
      <c r="B13" s="221" t="s">
        <v>6</v>
      </c>
      <c r="C13" s="65">
        <f>ROUND(+IF('PART 2025'!$I$18&lt;1,'PISO 2021'!Q11*'PART 2025'!$G$18,'PISO 2021'!J12+Copete!C12),2)</f>
        <v>11427751.66</v>
      </c>
      <c r="D13" s="65">
        <f>ROUND(+IF('PART 2025'!$I$19&lt;1,'PISO 2021'!Q12*'PART 2025'!$G$19,'PISO 2021'!K12+Copete!D12),2)</f>
        <v>1791210.63</v>
      </c>
      <c r="E13" s="65">
        <f>ROUND('Art.14 Frac.III'!O12,2)</f>
        <v>38862662.740000002</v>
      </c>
      <c r="F13" s="65">
        <f>ROUND(+IF('PART 2025'!$I$20&lt;1,'PISO 2021'!Q12*'PART 2025'!$G$20,'PISO 2021'!L12+Copete!E12),2)</f>
        <v>281918.57</v>
      </c>
      <c r="G13" s="65">
        <f>ROUND(+IF('PART 2025'!$I$21&lt;1,'PISO 2021'!Q12*'PART 2025'!$G$21,'PISO 2021'!M12+Copete!F12),2)</f>
        <v>812642.96</v>
      </c>
      <c r="H13" s="65">
        <f>ROUND(+IF('PART 2025'!$I$22&lt;1,'PISO 2021'!Q12*'PART 2025'!$G$22,'PISO 2021'!N12+Copete!G12),2)</f>
        <v>395516.71</v>
      </c>
      <c r="I13" s="65">
        <f>ROUND(+IF('PART 2025'!$I$23&lt;1,'PISO 2021'!Q12*'PART 2025'!$G$23,'PISO 2021'!O12+Copete!H12),2)</f>
        <v>46372.03</v>
      </c>
      <c r="J13" s="65">
        <f>ROUND('COEF Art 14 F II'!K14,2)</f>
        <v>182597.01</v>
      </c>
      <c r="K13" s="65">
        <f>+'ISR BI'!E11</f>
        <v>49093.120000000003</v>
      </c>
      <c r="L13" s="166">
        <f t="shared" si="0"/>
        <v>53849765.43</v>
      </c>
    </row>
    <row r="14" spans="1:12">
      <c r="A14" s="85">
        <v>19</v>
      </c>
      <c r="B14" s="221" t="s">
        <v>117</v>
      </c>
      <c r="C14" s="65">
        <f>ROUND(+IF('PART 2025'!$I$18&lt;1,'PISO 2021'!Q12*'PART 2025'!$G$18,'PISO 2021'!J13+Copete!C13),2)</f>
        <v>81554414.359999999</v>
      </c>
      <c r="D14" s="65">
        <f>ROUND(+IF('PART 2025'!$I$19&lt;1,'PISO 2021'!Q13*'PART 2025'!$G$19,'PISO 2021'!K13+Copete!D13),2)</f>
        <v>12210945.359999999</v>
      </c>
      <c r="E14" s="65">
        <f>ROUND('Art.14 Frac.III'!O13,2)</f>
        <v>3552705.9</v>
      </c>
      <c r="F14" s="65">
        <f>ROUND(+IF('PART 2025'!$I$20&lt;1,'PISO 2021'!Q13*'PART 2025'!$G$20,'PISO 2021'!L13+Copete!E13),2)</f>
        <v>2264630.85</v>
      </c>
      <c r="G14" s="65">
        <f>ROUND(+IF('PART 2025'!$I$21&lt;1,'PISO 2021'!Q13*'PART 2025'!$G$21,'PISO 2021'!M13+Copete!F13),2)</f>
        <v>5388084.5300000003</v>
      </c>
      <c r="H14" s="65">
        <f>ROUND(+IF('PART 2025'!$I$22&lt;1,'PISO 2021'!Q13*'PART 2025'!$G$22,'PISO 2021'!N13+Copete!G13),2)</f>
        <v>2630613.67</v>
      </c>
      <c r="I14" s="65">
        <f>ROUND(+IF('PART 2025'!$I$23&lt;1,'PISO 2021'!Q13*'PART 2025'!$G$23,'PISO 2021'!O13+Copete!H13),2)</f>
        <v>385061.27</v>
      </c>
      <c r="J14" s="65">
        <f>ROUND('COEF Art 14 F II'!K15,2)</f>
        <v>2743277.43</v>
      </c>
      <c r="K14" s="65">
        <f>+'ISR BI'!E12</f>
        <v>1708510.45</v>
      </c>
      <c r="L14" s="166">
        <f t="shared" si="0"/>
        <v>112438243.82000001</v>
      </c>
    </row>
    <row r="15" spans="1:12">
      <c r="A15" s="85">
        <v>20</v>
      </c>
      <c r="B15" s="221" t="s">
        <v>118</v>
      </c>
      <c r="C15" s="65">
        <f>ROUND(+IF('PART 2025'!$I$18&lt;1,'PISO 2021'!Q13*'PART 2025'!$G$18,'PISO 2021'!J14+Copete!C14),2)</f>
        <v>32392379.870000001</v>
      </c>
      <c r="D15" s="65">
        <f>ROUND(+IF('PART 2025'!$I$19&lt;1,'PISO 2021'!Q14*'PART 2025'!$G$19,'PISO 2021'!K14+Copete!D14),2)</f>
        <v>5304455.4800000004</v>
      </c>
      <c r="E15" s="65">
        <f>ROUND('Art.14 Frac.III'!O14,2)</f>
        <v>3964119.6</v>
      </c>
      <c r="F15" s="65">
        <f>ROUND(+IF('PART 2025'!$I$20&lt;1,'PISO 2021'!Q14*'PART 2025'!$G$20,'PISO 2021'!L14+Copete!E14),2)</f>
        <v>698741.28</v>
      </c>
      <c r="G15" s="65">
        <f>ROUND(+IF('PART 2025'!$I$21&lt;1,'PISO 2021'!Q14*'PART 2025'!$G$21,'PISO 2021'!M14+Copete!F14),2)</f>
        <v>2466842.08</v>
      </c>
      <c r="H15" s="65">
        <f>ROUND(+IF('PART 2025'!$I$22&lt;1,'PISO 2021'!Q14*'PART 2025'!$G$22,'PISO 2021'!N14+Copete!G14),2)</f>
        <v>1197361.43</v>
      </c>
      <c r="I15" s="65">
        <f>ROUND(+IF('PART 2025'!$I$23&lt;1,'PISO 2021'!Q14*'PART 2025'!$G$23,'PISO 2021'!O14+Copete!H14),2)</f>
        <v>109946.48</v>
      </c>
      <c r="J15" s="65">
        <f>ROUND('COEF Art 14 F II'!K16,2)</f>
        <v>2451539.94</v>
      </c>
      <c r="K15" s="65">
        <f>+'ISR BI'!E13</f>
        <v>945459.26</v>
      </c>
      <c r="L15" s="166">
        <f t="shared" si="0"/>
        <v>49530845.419999994</v>
      </c>
    </row>
    <row r="16" spans="1:12">
      <c r="A16" s="85">
        <v>23</v>
      </c>
      <c r="B16" s="221" t="s">
        <v>119</v>
      </c>
      <c r="C16" s="65">
        <f>ROUND(+IF('PART 2025'!$I$18&lt;1,'PISO 2021'!Q14*'PART 2025'!$G$18,'PISO 2021'!J15+Copete!C15),2)</f>
        <v>20523214.300000001</v>
      </c>
      <c r="D16" s="65">
        <f>ROUND(+IF('PART 2025'!$I$19&lt;1,'PISO 2021'!Q15*'PART 2025'!$G$19,'PISO 2021'!K15+Copete!D15),2)</f>
        <v>3093702.95</v>
      </c>
      <c r="E16" s="65">
        <f>ROUND('Art.14 Frac.III'!O15,2)</f>
        <v>3060983.06</v>
      </c>
      <c r="F16" s="65">
        <f>ROUND(+IF('PART 2025'!$I$20&lt;1,'PISO 2021'!Q15*'PART 2025'!$G$20,'PISO 2021'!L15+Copete!E15),2)</f>
        <v>560702.06000000006</v>
      </c>
      <c r="G16" s="65">
        <f>ROUND(+IF('PART 2025'!$I$21&lt;1,'PISO 2021'!Q15*'PART 2025'!$G$21,'PISO 2021'!M15+Copete!F15),2)</f>
        <v>1370879.62</v>
      </c>
      <c r="H16" s="65">
        <f>ROUND(+IF('PART 2025'!$I$22&lt;1,'PISO 2021'!Q15*'PART 2025'!$G$22,'PISO 2021'!N15+Copete!G15),2)</f>
        <v>668980.30000000005</v>
      </c>
      <c r="I16" s="65">
        <f>ROUND(+IF('PART 2025'!$I$23&lt;1,'PISO 2021'!Q15*'PART 2025'!$G$23,'PISO 2021'!O15+Copete!H15),2)</f>
        <v>94931.8</v>
      </c>
      <c r="J16" s="65">
        <f>ROUND('COEF Art 14 F II'!K17,2)</f>
        <v>272607.46999999997</v>
      </c>
      <c r="K16" s="65">
        <f>+'ISR BI'!E14</f>
        <v>23185.43</v>
      </c>
      <c r="L16" s="166">
        <f t="shared" si="0"/>
        <v>29669186.989999998</v>
      </c>
    </row>
    <row r="17" spans="1:12">
      <c r="A17" s="85">
        <v>21</v>
      </c>
      <c r="B17" s="221" t="s">
        <v>7</v>
      </c>
      <c r="C17" s="65">
        <f>ROUND(+IF('PART 2025'!$I$18&lt;1,'PISO 2021'!Q15*'PART 2025'!$G$18,'PISO 2021'!J16+Copete!C16),2)</f>
        <v>36949237.490000002</v>
      </c>
      <c r="D17" s="65">
        <f>ROUND(+IF('PART 2025'!$I$19&lt;1,'PISO 2021'!Q16*'PART 2025'!$G$19,'PISO 2021'!K16+Copete!D16),2)</f>
        <v>5421547.8099999996</v>
      </c>
      <c r="E17" s="65">
        <f>ROUND('Art.14 Frac.III'!O16,2)</f>
        <v>2920576.41</v>
      </c>
      <c r="F17" s="65">
        <f>ROUND(+IF('PART 2025'!$I$20&lt;1,'PISO 2021'!Q16*'PART 2025'!$G$20,'PISO 2021'!L16+Copete!E16),2)</f>
        <v>1074952.72</v>
      </c>
      <c r="G17" s="65">
        <f>ROUND(+IF('PART 2025'!$I$21&lt;1,'PISO 2021'!Q16*'PART 2025'!$G$21,'PISO 2021'!M16+Copete!F16),2)</f>
        <v>2361485.1</v>
      </c>
      <c r="H17" s="65">
        <f>ROUND(+IF('PART 2025'!$I$22&lt;1,'PISO 2021'!Q16*'PART 2025'!$G$22,'PISO 2021'!N16+Copete!G16),2)</f>
        <v>1154654.33</v>
      </c>
      <c r="I17" s="65">
        <f>ROUND(+IF('PART 2025'!$I$23&lt;1,'PISO 2021'!Q16*'PART 2025'!$G$23,'PISO 2021'!O16+Copete!H16),2)</f>
        <v>184937.43</v>
      </c>
      <c r="J17" s="65">
        <f>ROUND('COEF Art 14 F II'!K18,2)</f>
        <v>357878.93</v>
      </c>
      <c r="K17" s="65">
        <f>+'ISR BI'!E15</f>
        <v>83146.91</v>
      </c>
      <c r="L17" s="166">
        <f t="shared" si="0"/>
        <v>50508417.130000003</v>
      </c>
    </row>
    <row r="18" spans="1:12">
      <c r="A18" s="85">
        <v>22</v>
      </c>
      <c r="B18" s="221" t="s">
        <v>120</v>
      </c>
      <c r="C18" s="65">
        <f>ROUND(+IF('PART 2025'!$I$18&lt;1,'PISO 2021'!Q16*'PART 2025'!$G$18,'PISO 2021'!J17+Copete!C17),2)</f>
        <v>32110838.52</v>
      </c>
      <c r="D18" s="65">
        <f>ROUND(+IF('PART 2025'!$I$19&lt;1,'PISO 2021'!Q17*'PART 2025'!$G$19,'PISO 2021'!K17+Copete!D17),2)</f>
        <v>5078609.8499999996</v>
      </c>
      <c r="E18" s="65">
        <f>ROUND('Art.14 Frac.III'!O17,2)</f>
        <v>4080995.55</v>
      </c>
      <c r="F18" s="65">
        <f>ROUND(+IF('PART 2025'!$I$20&lt;1,'PISO 2021'!Q17*'PART 2025'!$G$20,'PISO 2021'!L17+Copete!E17),2)</f>
        <v>772068.97</v>
      </c>
      <c r="G18" s="65">
        <f>ROUND(+IF('PART 2025'!$I$21&lt;1,'PISO 2021'!Q17*'PART 2025'!$G$21,'PISO 2021'!M17+Copete!F17),2)</f>
        <v>2316154.0299999998</v>
      </c>
      <c r="H18" s="65">
        <f>ROUND(+IF('PART 2025'!$I$22&lt;1,'PISO 2021'!Q17*'PART 2025'!$G$22,'PISO 2021'!N17+Copete!G17),2)</f>
        <v>1126628.97</v>
      </c>
      <c r="I18" s="65">
        <f>ROUND(+IF('PART 2025'!$I$23&lt;1,'PISO 2021'!Q17*'PART 2025'!$G$23,'PISO 2021'!O17+Copete!H17),2)</f>
        <v>125997.02</v>
      </c>
      <c r="J18" s="65">
        <f>ROUND('COEF Art 14 F II'!K19,2)</f>
        <v>1675539.51</v>
      </c>
      <c r="K18" s="65">
        <f>+'ISR BI'!E16</f>
        <v>7183370.0899999999</v>
      </c>
      <c r="L18" s="166">
        <f t="shared" si="0"/>
        <v>54470202.50999999</v>
      </c>
    </row>
    <row r="19" spans="1:12">
      <c r="A19" s="85">
        <v>25</v>
      </c>
      <c r="B19" s="221" t="s">
        <v>8</v>
      </c>
      <c r="C19" s="65">
        <f>ROUND(+IF('PART 2025'!$I$18&lt;1,'PISO 2021'!Q17*'PART 2025'!$G$18,'PISO 2021'!J18+Copete!C18),2)</f>
        <v>98275622.489999995</v>
      </c>
      <c r="D19" s="65">
        <f>ROUND(+IF('PART 2025'!$I$19&lt;1,'PISO 2021'!Q18*'PART 2025'!$G$19,'PISO 2021'!K18+Copete!D18),2)</f>
        <v>14270347.300000001</v>
      </c>
      <c r="E19" s="65">
        <f>ROUND('Art.14 Frac.III'!O18,2)</f>
        <v>919045.15</v>
      </c>
      <c r="F19" s="65">
        <f>ROUND(+IF('PART 2025'!$I$20&lt;1,'PISO 2021'!Q18*'PART 2025'!$G$20,'PISO 2021'!L18+Copete!E18),2)</f>
        <v>2925187.23</v>
      </c>
      <c r="G19" s="65">
        <f>ROUND(+IF('PART 2025'!$I$21&lt;1,'PISO 2021'!Q18*'PART 2025'!$G$21,'PISO 2021'!M18+Copete!F18),2)</f>
        <v>6173380.8799999999</v>
      </c>
      <c r="H19" s="65">
        <f>ROUND(+IF('PART 2025'!$I$22&lt;1,'PISO 2021'!Q18*'PART 2025'!$G$22,'PISO 2021'!N18+Copete!G18),2)</f>
        <v>3020879.69</v>
      </c>
      <c r="I19" s="65">
        <f>ROUND(+IF('PART 2025'!$I$23&lt;1,'PISO 2021'!Q18*'PART 2025'!$G$23,'PISO 2021'!O18+Copete!H18),2)</f>
        <v>506040.92</v>
      </c>
      <c r="J19" s="65">
        <f>ROUND('COEF Art 14 F II'!K20,2)</f>
        <v>1039016.02</v>
      </c>
      <c r="K19" s="65">
        <f>+'ISR BI'!E17</f>
        <v>3458.58</v>
      </c>
      <c r="L19" s="166">
        <f t="shared" si="0"/>
        <v>127132978.25999999</v>
      </c>
    </row>
    <row r="20" spans="1:12">
      <c r="A20" s="85">
        <v>27</v>
      </c>
      <c r="B20" s="221" t="s">
        <v>9</v>
      </c>
      <c r="C20" s="65">
        <f>ROUND(+IF('PART 2025'!$I$18&lt;1,'PISO 2021'!Q18*'PART 2025'!$G$18,'PISO 2021'!J19+Copete!C19),2)</f>
        <v>12838108.18</v>
      </c>
      <c r="D20" s="65">
        <f>ROUND(+IF('PART 2025'!$I$19&lt;1,'PISO 2021'!Q19*'PART 2025'!$G$19,'PISO 2021'!K19+Copete!D19),2)</f>
        <v>1875153.13</v>
      </c>
      <c r="E20" s="65">
        <f>ROUND('Art.14 Frac.III'!O19,2)</f>
        <v>1157240.48</v>
      </c>
      <c r="F20" s="65">
        <f>ROUND(+IF('PART 2025'!$I$20&lt;1,'PISO 2021'!Q19*'PART 2025'!$G$20,'PISO 2021'!L19+Copete!E19),2)</f>
        <v>377284.3</v>
      </c>
      <c r="G20" s="65">
        <f>ROUND(+IF('PART 2025'!$I$21&lt;1,'PISO 2021'!Q19*'PART 2025'!$G$21,'PISO 2021'!M19+Copete!F19),2)</f>
        <v>814336.12</v>
      </c>
      <c r="H20" s="65">
        <f>ROUND(+IF('PART 2025'!$I$22&lt;1,'PISO 2021'!Q19*'PART 2025'!$G$22,'PISO 2021'!N19+Copete!G19),2)</f>
        <v>398308.76</v>
      </c>
      <c r="I20" s="65">
        <f>ROUND(+IF('PART 2025'!$I$23&lt;1,'PISO 2021'!Q19*'PART 2025'!$G$23,'PISO 2021'!O19+Copete!H19),2)</f>
        <v>65068.57</v>
      </c>
      <c r="J20" s="65">
        <f>ROUND('COEF Art 14 F II'!K21,2)</f>
        <v>85414.46</v>
      </c>
      <c r="K20" s="65">
        <f>+'ISR BI'!E18</f>
        <v>1439.55</v>
      </c>
      <c r="L20" s="166">
        <f t="shared" si="0"/>
        <v>17612353.550000004</v>
      </c>
    </row>
    <row r="21" spans="1:12">
      <c r="A21" s="85">
        <v>26</v>
      </c>
      <c r="B21" s="221" t="s">
        <v>121</v>
      </c>
      <c r="C21" s="65">
        <f>ROUND(+IF('PART 2025'!$I$18&lt;1,'PISO 2021'!Q19*'PART 2025'!$G$18,'PISO 2021'!J20+Copete!C20),2)</f>
        <v>8947350.3000000007</v>
      </c>
      <c r="D21" s="65">
        <f>ROUND(+IF('PART 2025'!$I$19&lt;1,'PISO 2021'!Q20*'PART 2025'!$G$19,'PISO 2021'!K20+Copete!D20),2)</f>
        <v>1305400.47</v>
      </c>
      <c r="E21" s="65">
        <f>ROUND('Art.14 Frac.III'!O20,2)</f>
        <v>3165245.93</v>
      </c>
      <c r="F21" s="65">
        <f>ROUND(+IF('PART 2025'!$I$20&lt;1,'PISO 2021'!Q20*'PART 2025'!$G$20,'PISO 2021'!L20+Copete!E20),2)</f>
        <v>263589.51</v>
      </c>
      <c r="G21" s="65">
        <f>ROUND(+IF('PART 2025'!$I$21&lt;1,'PISO 2021'!Q20*'PART 2025'!$G$21,'PISO 2021'!M20+Copete!F20),2)</f>
        <v>566488.98</v>
      </c>
      <c r="H21" s="65">
        <f>ROUND(+IF('PART 2025'!$I$22&lt;1,'PISO 2021'!Q20*'PART 2025'!$G$22,'PISO 2021'!N20+Copete!G20),2)</f>
        <v>277105.09000000003</v>
      </c>
      <c r="I21" s="65">
        <f>ROUND(+IF('PART 2025'!$I$23&lt;1,'PISO 2021'!Q20*'PART 2025'!$G$23,'PISO 2021'!O20+Copete!H20),2)</f>
        <v>45487.08</v>
      </c>
      <c r="J21" s="65">
        <f>ROUND('COEF Art 14 F II'!K22,2)</f>
        <v>101076.2</v>
      </c>
      <c r="K21" s="65">
        <f>+'ISR BI'!E19</f>
        <v>107859.92</v>
      </c>
      <c r="L21" s="166">
        <f t="shared" si="0"/>
        <v>14779603.48</v>
      </c>
    </row>
    <row r="22" spans="1:12">
      <c r="A22" s="85">
        <v>29</v>
      </c>
      <c r="B22" s="221" t="s">
        <v>10</v>
      </c>
      <c r="C22" s="65">
        <f>ROUND(+IF('PART 2025'!$I$18&lt;1,'PISO 2021'!Q20*'PART 2025'!$G$18,'PISO 2021'!J21+Copete!C21),2)</f>
        <v>79692339.219999999</v>
      </c>
      <c r="D22" s="65">
        <f>ROUND(+IF('PART 2025'!$I$19&lt;1,'PISO 2021'!Q21*'PART 2025'!$G$19,'PISO 2021'!K21+Copete!D21),2)</f>
        <v>11676687.880000001</v>
      </c>
      <c r="E22" s="65">
        <f>ROUND('Art.14 Frac.III'!O21,2)</f>
        <v>2466650.71</v>
      </c>
      <c r="F22" s="65">
        <f>ROUND(+IF('PART 2025'!$I$20&lt;1,'PISO 2021'!Q21*'PART 2025'!$G$20,'PISO 2021'!L21+Copete!E21),2)</f>
        <v>2325770.7599999998</v>
      </c>
      <c r="G22" s="65">
        <f>ROUND(+IF('PART 2025'!$I$21&lt;1,'PISO 2021'!Q21*'PART 2025'!$G$21,'PISO 2021'!M21+Copete!F21),2)</f>
        <v>5081372.41</v>
      </c>
      <c r="H22" s="65">
        <f>ROUND(+IF('PART 2025'!$I$22&lt;1,'PISO 2021'!Q21*'PART 2025'!$G$22,'PISO 2021'!N21+Copete!G21),2)</f>
        <v>2484814.4700000002</v>
      </c>
      <c r="I22" s="65">
        <f>ROUND(+IF('PART 2025'!$I$23&lt;1,'PISO 2021'!Q21*'PART 2025'!$G$23,'PISO 2021'!O21+Copete!H21),2)</f>
        <v>400439.03</v>
      </c>
      <c r="J22" s="65">
        <f>ROUND('COEF Art 14 F II'!K23,2)</f>
        <v>1094630.94</v>
      </c>
      <c r="K22" s="65">
        <f>+'ISR BI'!E20</f>
        <v>47660.95</v>
      </c>
      <c r="L22" s="166">
        <f t="shared" si="0"/>
        <v>105270366.36999999</v>
      </c>
    </row>
    <row r="23" spans="1:12">
      <c r="A23" s="85">
        <v>30</v>
      </c>
      <c r="B23" s="221" t="s">
        <v>122</v>
      </c>
      <c r="C23" s="65">
        <f>ROUND(+IF('PART 2025'!$I$18&lt;1,'PISO 2021'!Q21*'PART 2025'!$G$18,'PISO 2021'!J22+Copete!C22),2)</f>
        <v>156731541.96000001</v>
      </c>
      <c r="D23" s="65">
        <f>ROUND(+IF('PART 2025'!$I$19&lt;1,'PISO 2021'!Q22*'PART 2025'!$G$19,'PISO 2021'!K22+Copete!D22),2)</f>
        <v>24595011.27</v>
      </c>
      <c r="E23" s="65">
        <f>ROUND('Art.14 Frac.III'!O22,2)</f>
        <v>4452409.97</v>
      </c>
      <c r="F23" s="65">
        <f>ROUND(+IF('PART 2025'!$I$20&lt;1,'PISO 2021'!Q22*'PART 2025'!$G$20,'PISO 2021'!L22+Copete!E22),2)</f>
        <v>3853891.12</v>
      </c>
      <c r="G23" s="65">
        <f>ROUND(+IF('PART 2025'!$I$21&lt;1,'PISO 2021'!Q22*'PART 2025'!$G$21,'PISO 2021'!M22+Copete!F22),2)</f>
        <v>11165936.060000001</v>
      </c>
      <c r="H23" s="65">
        <f>ROUND(+IF('PART 2025'!$I$22&lt;1,'PISO 2021'!Q22*'PART 2025'!$G$22,'PISO 2021'!N22+Copete!G22),2)</f>
        <v>5434097.54</v>
      </c>
      <c r="I23" s="65">
        <f>ROUND(+IF('PART 2025'!$I$23&lt;1,'PISO 2021'!Q22*'PART 2025'!$G$23,'PISO 2021'!O22+Copete!H22),2)</f>
        <v>633289.11</v>
      </c>
      <c r="J23" s="65">
        <f>ROUND('COEF Art 14 F II'!K24,2)</f>
        <v>8992431.1199999992</v>
      </c>
      <c r="K23" s="65">
        <f>+'ISR BI'!E21</f>
        <v>14011981.84</v>
      </c>
      <c r="L23" s="166">
        <f t="shared" si="0"/>
        <v>229870589.99000004</v>
      </c>
    </row>
    <row r="24" spans="1:12">
      <c r="A24" s="85">
        <v>32</v>
      </c>
      <c r="B24" s="221" t="s">
        <v>11</v>
      </c>
      <c r="C24" s="65">
        <f>ROUND(+IF('PART 2025'!$I$18&lt;1,'PISO 2021'!Q22*'PART 2025'!$G$18,'PISO 2021'!J23+Copete!C23),2)</f>
        <v>18666501.32</v>
      </c>
      <c r="D24" s="65">
        <f>ROUND(+IF('PART 2025'!$I$19&lt;1,'PISO 2021'!Q23*'PART 2025'!$G$19,'PISO 2021'!K23+Copete!D23),2)</f>
        <v>2829095.47</v>
      </c>
      <c r="E24" s="65">
        <f>ROUND('Art.14 Frac.III'!O23,2)</f>
        <v>7683734.5499999998</v>
      </c>
      <c r="F24" s="65">
        <f>ROUND(+IF('PART 2025'!$I$20&lt;1,'PISO 2021'!Q23*'PART 2025'!$G$20,'PISO 2021'!L23+Copete!E23),2)</f>
        <v>503227.57</v>
      </c>
      <c r="G24" s="65">
        <f>ROUND(+IF('PART 2025'!$I$21&lt;1,'PISO 2021'!Q23*'PART 2025'!$G$21,'PISO 2021'!M23+Copete!F23),2)</f>
        <v>1257842.53</v>
      </c>
      <c r="H24" s="65">
        <f>ROUND(+IF('PART 2025'!$I$22&lt;1,'PISO 2021'!Q23*'PART 2025'!$G$22,'PISO 2021'!N23+Copete!G23),2)</f>
        <v>613585.53</v>
      </c>
      <c r="I24" s="65">
        <f>ROUND(+IF('PART 2025'!$I$23&lt;1,'PISO 2021'!Q23*'PART 2025'!$G$23,'PISO 2021'!O23+Copete!H23),2)</f>
        <v>84898.05</v>
      </c>
      <c r="J24" s="65">
        <f>ROUND('COEF Art 14 F II'!K25,2)</f>
        <v>239043.21</v>
      </c>
      <c r="K24" s="65">
        <f>+'ISR BI'!E22</f>
        <v>51953.36</v>
      </c>
      <c r="L24" s="166">
        <f t="shared" si="0"/>
        <v>31929881.590000004</v>
      </c>
    </row>
    <row r="25" spans="1:12">
      <c r="A25" s="85">
        <v>33</v>
      </c>
      <c r="B25" s="221" t="s">
        <v>12</v>
      </c>
      <c r="C25" s="65">
        <f>ROUND(+IF('PART 2025'!$I$18&lt;1,'PISO 2021'!Q23*'PART 2025'!$G$18,'PISO 2021'!J24+Copete!C24),2)</f>
        <v>303555112.49000001</v>
      </c>
      <c r="D25" s="65">
        <f>ROUND(+IF('PART 2025'!$I$19&lt;1,'PISO 2021'!Q24*'PART 2025'!$G$19,'PISO 2021'!K24+Copete!D24),2)</f>
        <v>47121709.740000002</v>
      </c>
      <c r="E25" s="65">
        <f>ROUND('Art.14 Frac.III'!O24,2)</f>
        <v>11176276.710000001</v>
      </c>
      <c r="F25" s="65">
        <f>ROUND(+IF('PART 2025'!$I$20&lt;1,'PISO 2021'!Q24*'PART 2025'!$G$20,'PISO 2021'!L24+Copete!E24),2)</f>
        <v>7690997.0499999998</v>
      </c>
      <c r="G25" s="65">
        <f>ROUND(+IF('PART 2025'!$I$21&lt;1,'PISO 2021'!Q24*'PART 2025'!$G$21,'PISO 2021'!M24+Copete!F24),2)</f>
        <v>21256753.02</v>
      </c>
      <c r="H25" s="65">
        <f>ROUND(+IF('PART 2025'!$I$22&lt;1,'PISO 2021'!Q24*'PART 2025'!$G$22,'PISO 2021'!N24+Copete!G24),2)</f>
        <v>10352326.08</v>
      </c>
      <c r="I25" s="65">
        <f>ROUND(+IF('PART 2025'!$I$23&lt;1,'PISO 2021'!Q24*'PART 2025'!$G$23,'PISO 2021'!O24+Copete!H24),2)</f>
        <v>1275129.57</v>
      </c>
      <c r="J25" s="65">
        <f>ROUND('COEF Art 14 F II'!K26,2)</f>
        <v>11487178.26</v>
      </c>
      <c r="K25" s="65">
        <f>+'ISR BI'!E23</f>
        <v>7807737.4100000001</v>
      </c>
      <c r="L25" s="166">
        <f t="shared" si="0"/>
        <v>421723220.32999998</v>
      </c>
    </row>
    <row r="26" spans="1:12">
      <c r="A26" s="85">
        <v>34</v>
      </c>
      <c r="B26" s="221" t="s">
        <v>123</v>
      </c>
      <c r="C26" s="65">
        <f>ROUND(+IF('PART 2025'!$I$18&lt;1,'PISO 2021'!Q24*'PART 2025'!$G$18,'PISO 2021'!J25+Copete!C25),2)</f>
        <v>32221030.789999999</v>
      </c>
      <c r="D26" s="65">
        <f>ROUND(+IF('PART 2025'!$I$19&lt;1,'PISO 2021'!Q25*'PART 2025'!$G$19,'PISO 2021'!K25+Copete!D25),2)</f>
        <v>4757812.5999999996</v>
      </c>
      <c r="E26" s="65">
        <f>ROUND('Art.14 Frac.III'!O25,2)</f>
        <v>3253087.81</v>
      </c>
      <c r="F26" s="65">
        <f>ROUND(+IF('PART 2025'!$I$20&lt;1,'PISO 2021'!Q25*'PART 2025'!$G$20,'PISO 2021'!L25+Copete!E25),2)</f>
        <v>924129.47</v>
      </c>
      <c r="G26" s="65">
        <f>ROUND(+IF('PART 2025'!$I$21&lt;1,'PISO 2021'!Q25*'PART 2025'!$G$21,'PISO 2021'!M25+Copete!F25),2)</f>
        <v>2080893.59</v>
      </c>
      <c r="H26" s="65">
        <f>ROUND(+IF('PART 2025'!$I$22&lt;1,'PISO 2021'!Q25*'PART 2025'!$G$22,'PISO 2021'!N25+Copete!G25),2)</f>
        <v>1016978.78</v>
      </c>
      <c r="I26" s="65">
        <f>ROUND(+IF('PART 2025'!$I$23&lt;1,'PISO 2021'!Q25*'PART 2025'!$G$23,'PISO 2021'!O25+Copete!H25),2)</f>
        <v>158430.39000000001</v>
      </c>
      <c r="J26" s="65">
        <f>ROUND('COEF Art 14 F II'!K27,2)</f>
        <v>415344.23</v>
      </c>
      <c r="K26" s="65">
        <f>+'ISR BI'!E24</f>
        <v>82547.88</v>
      </c>
      <c r="L26" s="166">
        <f t="shared" si="0"/>
        <v>44910255.540000007</v>
      </c>
    </row>
    <row r="27" spans="1:12">
      <c r="A27" s="85">
        <v>35</v>
      </c>
      <c r="B27" s="221" t="s">
        <v>13</v>
      </c>
      <c r="C27" s="65">
        <f>ROUND(+IF('PART 2025'!$I$18&lt;1,'PISO 2021'!Q25*'PART 2025'!$G$18,'PISO 2021'!J26+Copete!C26),2)</f>
        <v>5617905.4400000004</v>
      </c>
      <c r="D27" s="65">
        <f>ROUND(+IF('PART 2025'!$I$19&lt;1,'PISO 2021'!Q26*'PART 2025'!$G$19,'PISO 2021'!K26+Copete!D26),2)</f>
        <v>839556.6</v>
      </c>
      <c r="E27" s="65">
        <f>ROUND('Art.14 Frac.III'!O26,2)</f>
        <v>2695006.49</v>
      </c>
      <c r="F27" s="65">
        <f>ROUND(+IF('PART 2025'!$I$20&lt;1,'PISO 2021'!Q26*'PART 2025'!$G$20,'PISO 2021'!L26+Copete!E26),2)</f>
        <v>156706.19</v>
      </c>
      <c r="G27" s="65">
        <f>ROUND(+IF('PART 2025'!$I$21&lt;1,'PISO 2021'!Q26*'PART 2025'!$G$21,'PISO 2021'!M26+Copete!F26),2)</f>
        <v>370010.5</v>
      </c>
      <c r="H27" s="65">
        <f>ROUND(+IF('PART 2025'!$I$22&lt;1,'PISO 2021'!Q26*'PART 2025'!$G$22,'PISO 2021'!N26+Copete!G26),2)</f>
        <v>180674.18</v>
      </c>
      <c r="I27" s="65">
        <f>ROUND(+IF('PART 2025'!$I$23&lt;1,'PISO 2021'!Q26*'PART 2025'!$G$23,'PISO 2021'!O26+Copete!H26),2)</f>
        <v>26676.36</v>
      </c>
      <c r="J27" s="65">
        <f>ROUND('COEF Art 14 F II'!K28,2)</f>
        <v>76394.58</v>
      </c>
      <c r="K27" s="65">
        <f>+'ISR BI'!E25</f>
        <v>2578.35</v>
      </c>
      <c r="L27" s="166">
        <f t="shared" si="0"/>
        <v>9965508.6899999995</v>
      </c>
    </row>
    <row r="28" spans="1:12">
      <c r="A28" s="85">
        <v>61</v>
      </c>
      <c r="B28" s="221" t="s">
        <v>14</v>
      </c>
      <c r="C28" s="65">
        <f>ROUND(+IF('PART 2025'!$I$18&lt;1,'PISO 2021'!Q26*'PART 2025'!$G$18,'PISO 2021'!J27+Copete!C27),2)</f>
        <v>22407756.809999999</v>
      </c>
      <c r="D28" s="65">
        <f>ROUND(+IF('PART 2025'!$I$19&lt;1,'PISO 2021'!Q27*'PART 2025'!$G$19,'PISO 2021'!K27+Copete!D27),2)</f>
        <v>3266781.56</v>
      </c>
      <c r="E28" s="65">
        <f>ROUND('Art.14 Frac.III'!O27,2)</f>
        <v>2101242.0699999998</v>
      </c>
      <c r="F28" s="65">
        <f>ROUND(+IF('PART 2025'!$I$20&lt;1,'PISO 2021'!Q27*'PART 2025'!$G$20,'PISO 2021'!L27+Copete!E27),2)</f>
        <v>661222.96</v>
      </c>
      <c r="G28" s="65">
        <f>ROUND(+IF('PART 2025'!$I$21&lt;1,'PISO 2021'!Q27*'PART 2025'!$G$21,'PISO 2021'!M27+Copete!F27),2)</f>
        <v>1416943.12</v>
      </c>
      <c r="H28" s="65">
        <f>ROUND(+IF('PART 2025'!$I$22&lt;1,'PISO 2021'!Q27*'PART 2025'!$G$22,'PISO 2021'!N27+Copete!G27),2)</f>
        <v>693155</v>
      </c>
      <c r="I28" s="65">
        <f>ROUND(+IF('PART 2025'!$I$23&lt;1,'PISO 2021'!Q27*'PART 2025'!$G$23,'PISO 2021'!O27+Copete!H27),2)</f>
        <v>114151.15</v>
      </c>
      <c r="J28" s="65">
        <f>ROUND('COEF Art 14 F II'!K29,2)</f>
        <v>212382.85</v>
      </c>
      <c r="K28" s="65">
        <f>+'ISR BI'!E26</f>
        <v>573.65</v>
      </c>
      <c r="L28" s="166">
        <f t="shared" si="0"/>
        <v>30874209.169999998</v>
      </c>
    </row>
    <row r="29" spans="1:12">
      <c r="A29" s="85">
        <v>36</v>
      </c>
      <c r="B29" s="221" t="s">
        <v>15</v>
      </c>
      <c r="C29" s="65">
        <f>ROUND(+IF('PART 2025'!$I$18&lt;1,'PISO 2021'!Q27*'PART 2025'!$G$18,'PISO 2021'!J28+Copete!C28),2)</f>
        <v>37765361.649999999</v>
      </c>
      <c r="D29" s="65">
        <f>ROUND(+IF('PART 2025'!$I$19&lt;1,'PISO 2021'!Q28*'PART 2025'!$G$19,'PISO 2021'!K28+Copete!D28),2)</f>
        <v>5951714.1900000004</v>
      </c>
      <c r="E29" s="65">
        <f>ROUND('Art.14 Frac.III'!O28,2)</f>
        <v>3344553.9</v>
      </c>
      <c r="F29" s="65">
        <f>ROUND(+IF('PART 2025'!$I$20&lt;1,'PISO 2021'!Q28*'PART 2025'!$G$20,'PISO 2021'!L28+Copete!E28),2)</f>
        <v>917394.22</v>
      </c>
      <c r="G29" s="65">
        <f>ROUND(+IF('PART 2025'!$I$21&lt;1,'PISO 2021'!Q28*'PART 2025'!$G$21,'PISO 2021'!M28+Copete!F28),2)</f>
        <v>2708764.6</v>
      </c>
      <c r="H29" s="65">
        <f>ROUND(+IF('PART 2025'!$I$22&lt;1,'PISO 2021'!Q28*'PART 2025'!$G$22,'PISO 2021'!N28+Copete!G28),2)</f>
        <v>1317903.58</v>
      </c>
      <c r="I29" s="65">
        <f>ROUND(+IF('PART 2025'!$I$23&lt;1,'PISO 2021'!Q28*'PART 2025'!$G$23,'PISO 2021'!O28+Copete!H28),2)</f>
        <v>150190.9</v>
      </c>
      <c r="J29" s="65">
        <f>ROUND('COEF Art 14 F II'!K30,2)</f>
        <v>2349368.36</v>
      </c>
      <c r="K29" s="65">
        <f>+'ISR BI'!E27</f>
        <v>1105163.49</v>
      </c>
      <c r="L29" s="166">
        <f t="shared" si="0"/>
        <v>55610414.889999993</v>
      </c>
    </row>
    <row r="30" spans="1:12">
      <c r="A30" s="85">
        <v>28</v>
      </c>
      <c r="B30" s="221" t="s">
        <v>16</v>
      </c>
      <c r="C30" s="65">
        <f>ROUND(+IF('PART 2025'!$I$18&lt;1,'PISO 2021'!Q28*'PART 2025'!$G$18,'PISO 2021'!J29+Copete!C29),2)</f>
        <v>418427243.54000002</v>
      </c>
      <c r="D30" s="65">
        <f>ROUND(+IF('PART 2025'!$I$19&lt;1,'PISO 2021'!Q29*'PART 2025'!$G$19,'PISO 2021'!K29+Copete!D29),2)</f>
        <v>63002712.119999997</v>
      </c>
      <c r="E30" s="65">
        <f>ROUND('Art.14 Frac.III'!O29,2)</f>
        <v>10824932.720000001</v>
      </c>
      <c r="F30" s="65">
        <f>ROUND(+IF('PART 2025'!$I$20&lt;1,'PISO 2021'!Q29*'PART 2025'!$G$20,'PISO 2021'!L29+Copete!E29),2)</f>
        <v>11463264.130000001</v>
      </c>
      <c r="G30" s="65">
        <f>ROUND(+IF('PART 2025'!$I$21&lt;1,'PISO 2021'!Q29*'PART 2025'!$G$21,'PISO 2021'!M29+Copete!F29),2)</f>
        <v>27897935.66</v>
      </c>
      <c r="H30" s="65">
        <f>ROUND(+IF('PART 2025'!$I$22&lt;1,'PISO 2021'!Q29*'PART 2025'!$G$22,'PISO 2021'!N29+Copete!G29),2)</f>
        <v>13615105.84</v>
      </c>
      <c r="I30" s="65">
        <f>ROUND(+IF('PART 2025'!$I$23&lt;1,'PISO 2021'!Q29*'PART 2025'!$G$23,'PISO 2021'!O29+Copete!H29),2)</f>
        <v>1942252.77</v>
      </c>
      <c r="J30" s="65">
        <f>ROUND('COEF Art 14 F II'!K31,2)</f>
        <v>14027635.289999999</v>
      </c>
      <c r="K30" s="65">
        <f>+'ISR BI'!E28</f>
        <v>9959105.7400000002</v>
      </c>
      <c r="L30" s="166">
        <f t="shared" si="0"/>
        <v>571160187.81000006</v>
      </c>
    </row>
    <row r="31" spans="1:12">
      <c r="A31" s="85">
        <v>37</v>
      </c>
      <c r="B31" s="221" t="s">
        <v>124</v>
      </c>
      <c r="C31" s="65">
        <f>ROUND(+IF('PART 2025'!$I$18&lt;1,'PISO 2021'!Q29*'PART 2025'!$G$18,'PISO 2021'!J30+Copete!C30),2)</f>
        <v>8777629.0099999998</v>
      </c>
      <c r="D31" s="65">
        <f>ROUND(+IF('PART 2025'!$I$19&lt;1,'PISO 2021'!Q30*'PART 2025'!$G$19,'PISO 2021'!K30+Copete!D30),2)</f>
        <v>1273675.52</v>
      </c>
      <c r="E31" s="65">
        <f>ROUND('Art.14 Frac.III'!O30,2)</f>
        <v>3628982.41</v>
      </c>
      <c r="F31" s="65">
        <f>ROUND(+IF('PART 2025'!$I$20&lt;1,'PISO 2021'!Q30*'PART 2025'!$G$20,'PISO 2021'!L30+Copete!E30),2)</f>
        <v>261665.4</v>
      </c>
      <c r="G31" s="65">
        <f>ROUND(+IF('PART 2025'!$I$21&lt;1,'PISO 2021'!Q30*'PART 2025'!$G$21,'PISO 2021'!M30+Copete!F30),2)</f>
        <v>550736.43999999994</v>
      </c>
      <c r="H31" s="65">
        <f>ROUND(+IF('PART 2025'!$I$22&lt;1,'PISO 2021'!Q30*'PART 2025'!$G$22,'PISO 2021'!N30+Copete!G30),2)</f>
        <v>269511.78000000003</v>
      </c>
      <c r="I31" s="65">
        <f>ROUND(+IF('PART 2025'!$I$23&lt;1,'PISO 2021'!Q30*'PART 2025'!$G$23,'PISO 2021'!O30+Copete!H30),2)</f>
        <v>45283.03</v>
      </c>
      <c r="J31" s="65">
        <f>ROUND('COEF Art 14 F II'!K32,2)</f>
        <v>73498.42</v>
      </c>
      <c r="K31" s="65">
        <f>+'ISR BI'!E29</f>
        <v>535.29999999999995</v>
      </c>
      <c r="L31" s="166">
        <f t="shared" si="0"/>
        <v>14881517.309999999</v>
      </c>
    </row>
    <row r="32" spans="1:12">
      <c r="A32" s="85">
        <v>39</v>
      </c>
      <c r="B32" s="221" t="s">
        <v>17</v>
      </c>
      <c r="C32" s="65">
        <f>ROUND(+IF('PART 2025'!$I$18&lt;1,'PISO 2021'!Q30*'PART 2025'!$G$18,'PISO 2021'!J31+Copete!C31),2)</f>
        <v>15451532.720000001</v>
      </c>
      <c r="D32" s="65">
        <f>ROUND(+IF('PART 2025'!$I$19&lt;1,'PISO 2021'!Q31*'PART 2025'!$G$19,'PISO 2021'!K31+Copete!D31),2)</f>
        <v>2252182.9300000002</v>
      </c>
      <c r="E32" s="65">
        <f>ROUND('Art.14 Frac.III'!O31,2)</f>
        <v>2219839.13</v>
      </c>
      <c r="F32" s="65">
        <f>ROUND(+IF('PART 2025'!$I$20&lt;1,'PISO 2021'!Q31*'PART 2025'!$G$20,'PISO 2021'!L31+Copete!E31),2)</f>
        <v>456159.4</v>
      </c>
      <c r="G32" s="65">
        <f>ROUND(+IF('PART 2025'!$I$21&lt;1,'PISO 2021'!Q31*'PART 2025'!$G$21,'PISO 2021'!M31+Copete!F31),2)</f>
        <v>976735.6</v>
      </c>
      <c r="H32" s="65">
        <f>ROUND(+IF('PART 2025'!$I$22&lt;1,'PISO 2021'!Q31*'PART 2025'!$G$22,'PISO 2021'!N31+Copete!G31),2)</f>
        <v>477817.2</v>
      </c>
      <c r="I32" s="65">
        <f>ROUND(+IF('PART 2025'!$I$23&lt;1,'PISO 2021'!Q31*'PART 2025'!$G$23,'PISO 2021'!O31+Copete!H31),2)</f>
        <v>78758.25</v>
      </c>
      <c r="J32" s="65">
        <f>ROUND('COEF Art 14 F II'!K33,2)</f>
        <v>359388.62</v>
      </c>
      <c r="K32" s="65">
        <f>+'ISR BI'!E30</f>
        <v>14634.51</v>
      </c>
      <c r="L32" s="166">
        <f t="shared" si="0"/>
        <v>22287048.360000003</v>
      </c>
    </row>
    <row r="33" spans="1:12">
      <c r="A33" s="85">
        <v>38</v>
      </c>
      <c r="B33" s="221" t="s">
        <v>18</v>
      </c>
      <c r="C33" s="65">
        <f>ROUND(+IF('PART 2025'!$I$18&lt;1,'PISO 2021'!Q31*'PART 2025'!$G$18,'PISO 2021'!J32+Copete!C32),2)</f>
        <v>9466234.4199999999</v>
      </c>
      <c r="D33" s="65">
        <f>ROUND(+IF('PART 2025'!$I$19&lt;1,'PISO 2021'!Q32*'PART 2025'!$G$19,'PISO 2021'!K32+Copete!D32),2)</f>
        <v>1397031.02</v>
      </c>
      <c r="E33" s="65">
        <f>ROUND('Art.14 Frac.III'!O32,2)</f>
        <v>2928549.93</v>
      </c>
      <c r="F33" s="65">
        <f>ROUND(+IF('PART 2025'!$I$20&lt;1,'PISO 2021'!Q32*'PART 2025'!$G$20,'PISO 2021'!L32+Copete!E32),2)</f>
        <v>271840.37</v>
      </c>
      <c r="G33" s="65">
        <f>ROUND(+IF('PART 2025'!$I$21&lt;1,'PISO 2021'!Q32*'PART 2025'!$G$21,'PISO 2021'!M32+Copete!F32),2)</f>
        <v>610793.65</v>
      </c>
      <c r="H33" s="65">
        <f>ROUND(+IF('PART 2025'!$I$22&lt;1,'PISO 2021'!Q32*'PART 2025'!$G$22,'PISO 2021'!N32+Copete!G32),2)</f>
        <v>298520.53999999998</v>
      </c>
      <c r="I33" s="65">
        <f>ROUND(+IF('PART 2025'!$I$23&lt;1,'PISO 2021'!Q32*'PART 2025'!$G$23,'PISO 2021'!O32+Copete!H32),2)</f>
        <v>46618.15</v>
      </c>
      <c r="J33" s="65">
        <f>ROUND('COEF Art 14 F II'!K34,2)</f>
        <v>78351.05</v>
      </c>
      <c r="K33" s="65">
        <f>+'ISR BI'!E31</f>
        <v>37510.080000000002</v>
      </c>
      <c r="L33" s="166">
        <f t="shared" si="0"/>
        <v>15135449.209999999</v>
      </c>
    </row>
    <row r="34" spans="1:12">
      <c r="A34" s="85">
        <v>40</v>
      </c>
      <c r="B34" s="221" t="s">
        <v>19</v>
      </c>
      <c r="C34" s="65">
        <f>ROUND(+IF('PART 2025'!$I$18&lt;1,'PISO 2021'!Q32*'PART 2025'!$G$18,'PISO 2021'!J33+Copete!C33),2)</f>
        <v>12671240.029999999</v>
      </c>
      <c r="D34" s="65">
        <f>ROUND(+IF('PART 2025'!$I$19&lt;1,'PISO 2021'!Q33*'PART 2025'!$G$19,'PISO 2021'!K33+Copete!D33),2)</f>
        <v>1855624.17</v>
      </c>
      <c r="E34" s="65">
        <f>ROUND('Art.14 Frac.III'!O33,2)</f>
        <v>2776452.68</v>
      </c>
      <c r="F34" s="65">
        <f>ROUND(+IF('PART 2025'!$I$20&lt;1,'PISO 2021'!Q33*'PART 2025'!$G$20,'PISO 2021'!L33+Copete!E33),2)</f>
        <v>370240.54</v>
      </c>
      <c r="G34" s="65">
        <f>ROUND(+IF('PART 2025'!$I$21&lt;1,'PISO 2021'!Q33*'PART 2025'!$G$21,'PISO 2021'!M33+Copete!F33),2)</f>
        <v>807234.71</v>
      </c>
      <c r="H34" s="65">
        <f>ROUND(+IF('PART 2025'!$I$22&lt;1,'PISO 2021'!Q33*'PART 2025'!$G$22,'PISO 2021'!N33+Copete!G33),2)</f>
        <v>394757.37</v>
      </c>
      <c r="I34" s="65">
        <f>ROUND(+IF('PART 2025'!$I$23&lt;1,'PISO 2021'!Q33*'PART 2025'!$G$23,'PISO 2021'!O33+Copete!H33),2)</f>
        <v>63764.49</v>
      </c>
      <c r="J34" s="65">
        <f>ROUND('COEF Art 14 F II'!K35,2)</f>
        <v>181136.83</v>
      </c>
      <c r="K34" s="65">
        <f>+'ISR BI'!E32</f>
        <v>28693.14</v>
      </c>
      <c r="L34" s="166">
        <f t="shared" si="0"/>
        <v>19149143.959999997</v>
      </c>
    </row>
    <row r="35" spans="1:12">
      <c r="A35" s="85">
        <v>41</v>
      </c>
      <c r="B35" s="221" t="s">
        <v>20</v>
      </c>
      <c r="C35" s="65">
        <f>ROUND(+IF('PART 2025'!$I$18&lt;1,'PISO 2021'!Q33*'PART 2025'!$G$18,'PISO 2021'!J34+Copete!C34),2)</f>
        <v>12385554.859999999</v>
      </c>
      <c r="D35" s="65">
        <f>ROUND(+IF('PART 2025'!$I$19&lt;1,'PISO 2021'!Q34*'PART 2025'!$G$19,'PISO 2021'!K34+Copete!D34),2)</f>
        <v>1822506.52</v>
      </c>
      <c r="E35" s="65">
        <f>ROUND('Art.14 Frac.III'!O34,2)</f>
        <v>2014663.22</v>
      </c>
      <c r="F35" s="65">
        <f>ROUND(+IF('PART 2025'!$I$20&lt;1,'PISO 2021'!Q34*'PART 2025'!$G$20,'PISO 2021'!L34+Copete!E34),2)</f>
        <v>358041.42</v>
      </c>
      <c r="G35" s="65">
        <f>ROUND(+IF('PART 2025'!$I$21&lt;1,'PISO 2021'!Q34*'PART 2025'!$G$21,'PISO 2021'!M34+Copete!F34),2)</f>
        <v>795304.55</v>
      </c>
      <c r="H35" s="65">
        <f>ROUND(+IF('PART 2025'!$I$22&lt;1,'PISO 2021'!Q34*'PART 2025'!$G$22,'PISO 2021'!N34+Copete!G34),2)</f>
        <v>388783.54</v>
      </c>
      <c r="I35" s="65">
        <f>ROUND(+IF('PART 2025'!$I$23&lt;1,'PISO 2021'!Q34*'PART 2025'!$G$23,'PISO 2021'!O34+Copete!H34),2)</f>
        <v>61501.9</v>
      </c>
      <c r="J35" s="65">
        <f>ROUND('COEF Art 14 F II'!K36,2)</f>
        <v>122935.5</v>
      </c>
      <c r="K35" s="65">
        <f>+'ISR BI'!E33</f>
        <v>1240.24</v>
      </c>
      <c r="L35" s="166">
        <f t="shared" si="0"/>
        <v>17950531.749999996</v>
      </c>
    </row>
    <row r="36" spans="1:12">
      <c r="A36" s="85">
        <v>42</v>
      </c>
      <c r="B36" s="221" t="s">
        <v>125</v>
      </c>
      <c r="C36" s="65">
        <f>ROUND(+IF('PART 2025'!$I$18&lt;1,'PISO 2021'!Q34*'PART 2025'!$G$18,'PISO 2021'!J35+Copete!C35),2)</f>
        <v>187860481.83000001</v>
      </c>
      <c r="D36" s="65">
        <f>ROUND(+IF('PART 2025'!$I$19&lt;1,'PISO 2021'!Q35*'PART 2025'!$G$19,'PISO 2021'!K35+Copete!D35),2)</f>
        <v>29646985.82</v>
      </c>
      <c r="E36" s="65">
        <f>ROUND('Art.14 Frac.III'!O35,2)</f>
        <v>6568122.0499999998</v>
      </c>
      <c r="F36" s="65">
        <f>ROUND(+IF('PART 2025'!$I$20&lt;1,'PISO 2021'!Q35*'PART 2025'!$G$20,'PISO 2021'!L35+Copete!E35),2)</f>
        <v>4545515.59</v>
      </c>
      <c r="G36" s="65">
        <f>ROUND(+IF('PART 2025'!$I$21&lt;1,'PISO 2021'!Q35*'PART 2025'!$G$21,'PISO 2021'!M35+Copete!F35),2)</f>
        <v>13503782.119999999</v>
      </c>
      <c r="H36" s="65">
        <f>ROUND(+IF('PART 2025'!$I$22&lt;1,'PISO 2021'!Q35*'PART 2025'!$G$22,'PISO 2021'!N35+Copete!G35),2)</f>
        <v>6569457.5</v>
      </c>
      <c r="I36" s="65">
        <f>ROUND(+IF('PART 2025'!$I$23&lt;1,'PISO 2021'!Q35*'PART 2025'!$G$23,'PISO 2021'!O35+Copete!H35),2)</f>
        <v>743260.19</v>
      </c>
      <c r="J36" s="65">
        <f>ROUND('COEF Art 14 F II'!K37,2)</f>
        <v>10603998.66</v>
      </c>
      <c r="K36" s="65">
        <f>+'ISR BI'!E34</f>
        <v>6249717.3700000001</v>
      </c>
      <c r="L36" s="166">
        <f t="shared" si="0"/>
        <v>266291321.13000003</v>
      </c>
    </row>
    <row r="37" spans="1:12">
      <c r="A37" s="85">
        <v>43</v>
      </c>
      <c r="B37" s="221" t="s">
        <v>21</v>
      </c>
      <c r="C37" s="65">
        <f>ROUND(+IF('PART 2025'!$I$18&lt;1,'PISO 2021'!Q35*'PART 2025'!$G$18,'PISO 2021'!J36+Copete!C36),2)</f>
        <v>26019983.600000001</v>
      </c>
      <c r="D37" s="65">
        <f>ROUND(+IF('PART 2025'!$I$19&lt;1,'PISO 2021'!Q36*'PART 2025'!$G$19,'PISO 2021'!K36+Copete!D36),2)</f>
        <v>3935163</v>
      </c>
      <c r="E37" s="65">
        <f>ROUND('Art.14 Frac.III'!O36,2)</f>
        <v>8218565.8300000001</v>
      </c>
      <c r="F37" s="65">
        <f>ROUND(+IF('PART 2025'!$I$20&lt;1,'PISO 2021'!Q36*'PART 2025'!$G$20,'PISO 2021'!L36+Copete!E36),2)</f>
        <v>705191.45</v>
      </c>
      <c r="G37" s="65">
        <f>ROUND(+IF('PART 2025'!$I$21&lt;1,'PISO 2021'!Q36*'PART 2025'!$G$21,'PISO 2021'!M36+Copete!F36),2)</f>
        <v>1747297.83</v>
      </c>
      <c r="H37" s="65">
        <f>ROUND(+IF('PART 2025'!$I$22&lt;1,'PISO 2021'!Q36*'PART 2025'!$G$22,'PISO 2021'!N36+Copete!G36),2)</f>
        <v>852473.31</v>
      </c>
      <c r="I37" s="65">
        <f>ROUND(+IF('PART 2025'!$I$23&lt;1,'PISO 2021'!Q36*'PART 2025'!$G$23,'PISO 2021'!O36+Copete!H36),2)</f>
        <v>119140.05</v>
      </c>
      <c r="J37" s="65">
        <f>ROUND('COEF Art 14 F II'!K38,2)</f>
        <v>289549.39</v>
      </c>
      <c r="K37" s="65">
        <f>+'ISR BI'!E35</f>
        <v>50917.3</v>
      </c>
      <c r="L37" s="166">
        <f t="shared" si="0"/>
        <v>41938281.759999998</v>
      </c>
    </row>
    <row r="38" spans="1:12">
      <c r="A38" s="85">
        <v>44</v>
      </c>
      <c r="B38" s="221" t="s">
        <v>22</v>
      </c>
      <c r="C38" s="65">
        <f>ROUND(+IF('PART 2025'!$I$18&lt;1,'PISO 2021'!Q36*'PART 2025'!$G$18,'PISO 2021'!J37+Copete!C37),2)</f>
        <v>81087237.370000005</v>
      </c>
      <c r="D38" s="65">
        <f>ROUND(+IF('PART 2025'!$I$19&lt;1,'PISO 2021'!Q37*'PART 2025'!$G$19,'PISO 2021'!K37+Copete!D37),2)</f>
        <v>11928966.16</v>
      </c>
      <c r="E38" s="65">
        <f>ROUND('Art.14 Frac.III'!O37,2)</f>
        <v>2727527.17</v>
      </c>
      <c r="F38" s="65">
        <f>ROUND(+IF('PART 2025'!$I$20&lt;1,'PISO 2021'!Q37*'PART 2025'!$G$20,'PISO 2021'!L37+Copete!E37),2)</f>
        <v>2345322.4</v>
      </c>
      <c r="G38" s="65">
        <f>ROUND(+IF('PART 2025'!$I$21&lt;1,'PISO 2021'!Q37*'PART 2025'!$G$21,'PISO 2021'!M37+Copete!F37),2)</f>
        <v>5204754.3600000003</v>
      </c>
      <c r="H38" s="65">
        <f>ROUND(+IF('PART 2025'!$I$22&lt;1,'PISO 2021'!Q37*'PART 2025'!$G$22,'PISO 2021'!N37+Copete!G37),2)</f>
        <v>2544382.1800000002</v>
      </c>
      <c r="I38" s="65">
        <f>ROUND(+IF('PART 2025'!$I$23&lt;1,'PISO 2021'!Q37*'PART 2025'!$G$23,'PISO 2021'!O37+Copete!H37),2)</f>
        <v>402916.58</v>
      </c>
      <c r="J38" s="65">
        <f>ROUND('COEF Art 14 F II'!K39,2)</f>
        <v>1860895.84</v>
      </c>
      <c r="K38" s="65">
        <f>+'ISR BI'!E36</f>
        <v>538446.28</v>
      </c>
      <c r="L38" s="166">
        <f t="shared" si="0"/>
        <v>108640448.34000002</v>
      </c>
    </row>
    <row r="39" spans="1:12">
      <c r="A39" s="85">
        <v>46</v>
      </c>
      <c r="B39" s="221" t="s">
        <v>126</v>
      </c>
      <c r="C39" s="65">
        <f>ROUND(+IF('PART 2025'!$I$18&lt;1,'PISO 2021'!Q37*'PART 2025'!$G$18,'PISO 2021'!J38+Copete!C38),2)</f>
        <v>16885523.760000002</v>
      </c>
      <c r="D39" s="65">
        <f>ROUND(+IF('PART 2025'!$I$19&lt;1,'PISO 2021'!Q38*'PART 2025'!$G$19,'PISO 2021'!K38+Copete!D38),2)</f>
        <v>2472648.92</v>
      </c>
      <c r="E39" s="65">
        <f>ROUND('Art.14 Frac.III'!O38,2)</f>
        <v>5736884.3700000001</v>
      </c>
      <c r="F39" s="65">
        <f>ROUND(+IF('PART 2025'!$I$20&lt;1,'PISO 2021'!Q38*'PART 2025'!$G$20,'PISO 2021'!L38+Copete!E38),2)</f>
        <v>493435.37</v>
      </c>
      <c r="G39" s="65">
        <f>ROUND(+IF('PART 2025'!$I$21&lt;1,'PISO 2021'!Q38*'PART 2025'!$G$21,'PISO 2021'!M38+Copete!F38),2)</f>
        <v>1075616.01</v>
      </c>
      <c r="H39" s="65">
        <f>ROUND(+IF('PART 2025'!$I$22&lt;1,'PISO 2021'!Q38*'PART 2025'!$G$22,'PISO 2021'!N38+Copete!G38),2)</f>
        <v>526004.43000000005</v>
      </c>
      <c r="I39" s="65">
        <f>ROUND(+IF('PART 2025'!$I$23&lt;1,'PISO 2021'!Q38*'PART 2025'!$G$23,'PISO 2021'!O38+Copete!H38),2)</f>
        <v>84984.08</v>
      </c>
      <c r="J39" s="65">
        <f>ROUND('COEF Art 14 F II'!K40,2)</f>
        <v>172118.42</v>
      </c>
      <c r="K39" s="65">
        <f>+'ISR BI'!E37</f>
        <v>379321.38</v>
      </c>
      <c r="L39" s="166">
        <f t="shared" si="0"/>
        <v>27826536.740000002</v>
      </c>
    </row>
    <row r="40" spans="1:12">
      <c r="A40" s="85">
        <v>49</v>
      </c>
      <c r="B40" s="221" t="s">
        <v>23</v>
      </c>
      <c r="C40" s="65">
        <f>ROUND(+IF('PART 2025'!$I$18&lt;1,'PISO 2021'!Q38*'PART 2025'!$G$18,'PISO 2021'!J39+Copete!C39),2)</f>
        <v>12778830.119999999</v>
      </c>
      <c r="D40" s="65">
        <f>ROUND(+IF('PART 2025'!$I$19&lt;1,'PISO 2021'!Q39*'PART 2025'!$G$19,'PISO 2021'!K39+Copete!D39),2)</f>
        <v>1774079.99</v>
      </c>
      <c r="E40" s="65">
        <f>ROUND('Art.14 Frac.III'!O39,2)</f>
        <v>3932994.15</v>
      </c>
      <c r="F40" s="65">
        <f>ROUND(+IF('PART 2025'!$I$20&lt;1,'PISO 2021'!Q39*'PART 2025'!$G$20,'PISO 2021'!L39+Copete!E39),2)</f>
        <v>416366.56</v>
      </c>
      <c r="G40" s="65">
        <f>ROUND(+IF('PART 2025'!$I$21&lt;1,'PISO 2021'!Q39*'PART 2025'!$G$21,'PISO 2021'!M39+Copete!F39),2)</f>
        <v>744122.97</v>
      </c>
      <c r="H40" s="65">
        <f>ROUND(+IF('PART 2025'!$I$22&lt;1,'PISO 2021'!Q39*'PART 2025'!$G$22,'PISO 2021'!N39+Copete!G39),2)</f>
        <v>365453</v>
      </c>
      <c r="I40" s="65">
        <f>ROUND(+IF('PART 2025'!$I$23&lt;1,'PISO 2021'!Q39*'PART 2025'!$G$23,'PISO 2021'!O39+Copete!H39),2)</f>
        <v>73511.91</v>
      </c>
      <c r="J40" s="65">
        <f>ROUND('COEF Art 14 F II'!K41,2)</f>
        <v>42775.74</v>
      </c>
      <c r="K40" s="65">
        <f>+'ISR BI'!E38</f>
        <v>3457.02</v>
      </c>
      <c r="L40" s="166">
        <f t="shared" si="0"/>
        <v>20131591.459999993</v>
      </c>
    </row>
    <row r="41" spans="1:12">
      <c r="A41" s="85">
        <v>48</v>
      </c>
      <c r="B41" s="221" t="s">
        <v>24</v>
      </c>
      <c r="C41" s="65">
        <f>ROUND(+IF('PART 2025'!$I$18&lt;1,'PISO 2021'!Q39*'PART 2025'!$G$18,'PISO 2021'!J40+Copete!C40),2)</f>
        <v>18891712.579999998</v>
      </c>
      <c r="D41" s="65">
        <f>ROUND(+IF('PART 2025'!$I$19&lt;1,'PISO 2021'!Q40*'PART 2025'!$G$19,'PISO 2021'!K40+Copete!D40),2)</f>
        <v>2806587.22</v>
      </c>
      <c r="E41" s="65">
        <f>ROUND('Art.14 Frac.III'!O40,2)</f>
        <v>801486.6</v>
      </c>
      <c r="F41" s="65">
        <f>ROUND(+IF('PART 2025'!$I$20&lt;1,'PISO 2021'!Q40*'PART 2025'!$G$20,'PISO 2021'!L40+Copete!E40),2)</f>
        <v>534320.31000000006</v>
      </c>
      <c r="G41" s="65">
        <f>ROUND(+IF('PART 2025'!$I$21&lt;1,'PISO 2021'!Q40*'PART 2025'!$G$21,'PISO 2021'!M40+Copete!F40),2)</f>
        <v>1232289.17</v>
      </c>
      <c r="H41" s="65">
        <f>ROUND(+IF('PART 2025'!$I$22&lt;1,'PISO 2021'!Q40*'PART 2025'!$G$22,'PISO 2021'!N40+Copete!G40),2)</f>
        <v>601978.28</v>
      </c>
      <c r="I41" s="65">
        <f>ROUND(+IF('PART 2025'!$I$23&lt;1,'PISO 2021'!Q40*'PART 2025'!$G$23,'PISO 2021'!O40+Copete!H40),2)</f>
        <v>91281.42</v>
      </c>
      <c r="J41" s="65">
        <f>ROUND('COEF Art 14 F II'!K42,2)</f>
        <v>251319.09</v>
      </c>
      <c r="K41" s="65">
        <f>+'ISR BI'!E39</f>
        <v>149.88</v>
      </c>
      <c r="L41" s="166">
        <f t="shared" si="0"/>
        <v>25211124.549999997</v>
      </c>
    </row>
    <row r="42" spans="1:12">
      <c r="A42" s="85">
        <v>47</v>
      </c>
      <c r="B42" s="221" t="s">
        <v>25</v>
      </c>
      <c r="C42" s="65">
        <f>ROUND(+IF('PART 2025'!$I$18&lt;1,'PISO 2021'!Q40*'PART 2025'!$G$18,'PISO 2021'!J41+Copete!C41),2)</f>
        <v>25567494.27</v>
      </c>
      <c r="D42" s="65">
        <f>ROUND(+IF('PART 2025'!$I$19&lt;1,'PISO 2021'!Q41*'PART 2025'!$G$19,'PISO 2021'!K41+Copete!D41),2)</f>
        <v>3788031</v>
      </c>
      <c r="E42" s="65">
        <f>ROUND('Art.14 Frac.III'!O41,2)</f>
        <v>3500315.22</v>
      </c>
      <c r="F42" s="65">
        <f>ROUND(+IF('PART 2025'!$I$20&lt;1,'PISO 2021'!Q41*'PART 2025'!$G$20,'PISO 2021'!L41+Copete!E41),2)</f>
        <v>727693.53</v>
      </c>
      <c r="G42" s="65">
        <f>ROUND(+IF('PART 2025'!$I$21&lt;1,'PISO 2021'!Q41*'PART 2025'!$G$21,'PISO 2021'!M41+Copete!F41),2)</f>
        <v>1660321.69</v>
      </c>
      <c r="H42" s="65">
        <f>ROUND(+IF('PART 2025'!$I$22&lt;1,'PISO 2021'!Q41*'PART 2025'!$G$22,'PISO 2021'!N41+Copete!G41),2)</f>
        <v>811235.42</v>
      </c>
      <c r="I42" s="65">
        <f>ROUND(+IF('PART 2025'!$I$23&lt;1,'PISO 2021'!Q41*'PART 2025'!$G$23,'PISO 2021'!O41+Copete!H41),2)</f>
        <v>124514.28</v>
      </c>
      <c r="J42" s="65">
        <f>ROUND('COEF Art 14 F II'!K43,2)</f>
        <v>262158.7</v>
      </c>
      <c r="K42" s="65">
        <f>+'ISR BI'!E40</f>
        <v>43743.32</v>
      </c>
      <c r="L42" s="166">
        <f t="shared" si="0"/>
        <v>36485507.43</v>
      </c>
    </row>
    <row r="43" spans="1:12">
      <c r="A43" s="85">
        <v>45</v>
      </c>
      <c r="B43" s="221" t="s">
        <v>26</v>
      </c>
      <c r="C43" s="65">
        <f>ROUND(+IF('PART 2025'!$I$18&lt;1,'PISO 2021'!Q41*'PART 2025'!$G$18,'PISO 2021'!J42+Copete!C42),2)</f>
        <v>60773798</v>
      </c>
      <c r="D43" s="65">
        <f>ROUND(+IF('PART 2025'!$I$19&lt;1,'PISO 2021'!Q42*'PART 2025'!$G$19,'PISO 2021'!K42+Copete!D42),2)</f>
        <v>9025019.0299999993</v>
      </c>
      <c r="E43" s="65">
        <f>ROUND('Art.14 Frac.III'!O42,2)</f>
        <v>4071010.53</v>
      </c>
      <c r="F43" s="65">
        <f>ROUND(+IF('PART 2025'!$I$20&lt;1,'PISO 2021'!Q42*'PART 2025'!$G$20,'PISO 2021'!L42+Copete!E42),2)</f>
        <v>1720495.73</v>
      </c>
      <c r="G43" s="65">
        <f>ROUND(+IF('PART 2025'!$I$21&lt;1,'PISO 2021'!Q42*'PART 2025'!$G$21,'PISO 2021'!M42+Copete!F42),2)</f>
        <v>3961596.89</v>
      </c>
      <c r="H43" s="65">
        <f>ROUND(+IF('PART 2025'!$I$22&lt;1,'PISO 2021'!Q42*'PART 2025'!$G$22,'PISO 2021'!N42+Copete!G42),2)</f>
        <v>1935313.27</v>
      </c>
      <c r="I43" s="65">
        <f>ROUND(+IF('PART 2025'!$I$23&lt;1,'PISO 2021'!Q42*'PART 2025'!$G$23,'PISO 2021'!O42+Copete!H42),2)</f>
        <v>293993.34999999998</v>
      </c>
      <c r="J43" s="65">
        <f>ROUND('COEF Art 14 F II'!K44,2)</f>
        <v>1550624.91</v>
      </c>
      <c r="K43" s="65">
        <f>+'ISR BI'!E41</f>
        <v>1541422.88</v>
      </c>
      <c r="L43" s="166">
        <f t="shared" si="0"/>
        <v>84873274.589999989</v>
      </c>
    </row>
    <row r="44" spans="1:12">
      <c r="A44" s="85">
        <v>70</v>
      </c>
      <c r="B44" s="221" t="s">
        <v>27</v>
      </c>
      <c r="C44" s="65">
        <f>ROUND(+IF('PART 2025'!$I$18&lt;1,'PISO 2021'!Q42*'PART 2025'!$G$18,'PISO 2021'!J43+Copete!C43),2)</f>
        <v>1388152129.3699999</v>
      </c>
      <c r="D44" s="65">
        <f>ROUND(+IF('PART 2025'!$I$19&lt;1,'PISO 2021'!Q43*'PART 2025'!$G$19,'PISO 2021'!K43+Copete!D43),2)</f>
        <v>209546616.94999999</v>
      </c>
      <c r="E44" s="65">
        <f>ROUND('Art.14 Frac.III'!O43,2)</f>
        <v>0</v>
      </c>
      <c r="F44" s="65">
        <f>ROUND(+IF('PART 2025'!$I$20&lt;1,'PISO 2021'!Q43*'PART 2025'!$G$20,'PISO 2021'!L43+Copete!E43),2)</f>
        <v>37794844.170000002</v>
      </c>
      <c r="G44" s="65">
        <f>ROUND(+IF('PART 2025'!$I$21&lt;1,'PISO 2021'!Q43*'PART 2025'!$G$21,'PISO 2021'!M43+Copete!F43),2)</f>
        <v>92935370.099999994</v>
      </c>
      <c r="H44" s="65">
        <f>ROUND(+IF('PART 2025'!$I$22&lt;1,'PISO 2021'!Q43*'PART 2025'!$G$22,'PISO 2021'!N43+Copete!G43),2)</f>
        <v>45347357</v>
      </c>
      <c r="I44" s="65">
        <f>ROUND(+IF('PART 2025'!$I$23&lt;1,'PISO 2021'!Q43*'PART 2025'!$G$23,'PISO 2021'!O43+Copete!H43),2)</f>
        <v>6393166.54</v>
      </c>
      <c r="J44" s="65">
        <f>ROUND('COEF Art 14 F II'!K45,2)</f>
        <v>29912297.68</v>
      </c>
      <c r="K44" s="65">
        <f>+'ISR BI'!E42</f>
        <v>41337665.899999999</v>
      </c>
      <c r="L44" s="166">
        <f t="shared" si="0"/>
        <v>1851419447.71</v>
      </c>
    </row>
    <row r="45" spans="1:12">
      <c r="A45" s="85">
        <v>50</v>
      </c>
      <c r="B45" s="221" t="s">
        <v>127</v>
      </c>
      <c r="C45" s="65">
        <f>ROUND(+IF('PART 2025'!$I$18&lt;1,'PISO 2021'!Q43*'PART 2025'!$G$18,'PISO 2021'!J44+Copete!C44),2)</f>
        <v>8540110.3699999992</v>
      </c>
      <c r="D45" s="65">
        <f>ROUND(+IF('PART 2025'!$I$19&lt;1,'PISO 2021'!Q44*'PART 2025'!$G$19,'PISO 2021'!K44+Copete!D44),2)</f>
        <v>1316742.3999999999</v>
      </c>
      <c r="E45" s="65">
        <f>ROUND('Art.14 Frac.III'!O44,2)</f>
        <v>6074718.2000000002</v>
      </c>
      <c r="F45" s="65">
        <f>ROUND(+IF('PART 2025'!$I$20&lt;1,'PISO 2021'!Q44*'PART 2025'!$G$20,'PISO 2021'!L44+Copete!E44),2)</f>
        <v>220335.08</v>
      </c>
      <c r="G45" s="65">
        <f>ROUND(+IF('PART 2025'!$I$21&lt;1,'PISO 2021'!Q44*'PART 2025'!$G$21,'PISO 2021'!M44+Copete!F44),2)</f>
        <v>591584.91</v>
      </c>
      <c r="H45" s="65">
        <f>ROUND(+IF('PART 2025'!$I$22&lt;1,'PISO 2021'!Q44*'PART 2025'!$G$22,'PISO 2021'!N44+Copete!G44),2)</f>
        <v>288240.48</v>
      </c>
      <c r="I45" s="65">
        <f>ROUND(+IF('PART 2025'!$I$23&lt;1,'PISO 2021'!Q44*'PART 2025'!$G$23,'PISO 2021'!O44+Copete!H44),2)</f>
        <v>36722.050000000003</v>
      </c>
      <c r="J45" s="65">
        <f>ROUND('COEF Art 14 F II'!K46,2)</f>
        <v>93984</v>
      </c>
      <c r="K45" s="65">
        <f>+'ISR BI'!E43</f>
        <v>26296.79</v>
      </c>
      <c r="L45" s="166">
        <f t="shared" si="0"/>
        <v>17188734.279999997</v>
      </c>
    </row>
    <row r="46" spans="1:12">
      <c r="A46" s="85">
        <v>51</v>
      </c>
      <c r="B46" s="221" t="s">
        <v>128</v>
      </c>
      <c r="C46" s="65">
        <f>ROUND(+IF('PART 2025'!$I$18&lt;1,'PISO 2021'!Q44*'PART 2025'!$G$18,'PISO 2021'!J45+Copete!C45),2)</f>
        <v>50688558.719999999</v>
      </c>
      <c r="D46" s="65">
        <f>ROUND(+IF('PART 2025'!$I$19&lt;1,'PISO 2021'!Q45*'PART 2025'!$G$19,'PISO 2021'!K45+Copete!D45),2)</f>
        <v>8122647.9100000001</v>
      </c>
      <c r="E46" s="65">
        <f>ROUND('Art.14 Frac.III'!O45,2)</f>
        <v>3734787.9</v>
      </c>
      <c r="F46" s="65">
        <f>ROUND(+IF('PART 2025'!$I$20&lt;1,'PISO 2021'!Q45*'PART 2025'!$G$20,'PISO 2021'!L45+Copete!E45),2)</f>
        <v>1172008.08</v>
      </c>
      <c r="G46" s="65">
        <f>ROUND(+IF('PART 2025'!$I$21&lt;1,'PISO 2021'!Q45*'PART 2025'!$G$21,'PISO 2021'!M45+Copete!F45),2)</f>
        <v>3732249.11</v>
      </c>
      <c r="H46" s="65">
        <f>ROUND(+IF('PART 2025'!$I$22&lt;1,'PISO 2021'!Q45*'PART 2025'!$G$22,'PISO 2021'!N45+Copete!G45),2)</f>
        <v>1813952.03</v>
      </c>
      <c r="I46" s="65">
        <f>ROUND(+IF('PART 2025'!$I$23&lt;1,'PISO 2021'!Q45*'PART 2025'!$G$23,'PISO 2021'!O45+Copete!H45),2)</f>
        <v>188881.49</v>
      </c>
      <c r="J46" s="65">
        <f>ROUND('COEF Art 14 F II'!K47,2)</f>
        <v>3465905.56</v>
      </c>
      <c r="K46" s="65">
        <f>+'ISR BI'!E44</f>
        <v>4175787.43</v>
      </c>
      <c r="L46" s="166">
        <f t="shared" si="0"/>
        <v>77094778.230000004</v>
      </c>
    </row>
    <row r="47" spans="1:12">
      <c r="A47" s="85">
        <v>52</v>
      </c>
      <c r="B47" s="221" t="s">
        <v>129</v>
      </c>
      <c r="C47" s="65">
        <f>ROUND(+IF('PART 2025'!$I$18&lt;1,'PISO 2021'!Q45*'PART 2025'!$G$18,'PISO 2021'!J46+Copete!C46),2)</f>
        <v>13983594.689999999</v>
      </c>
      <c r="D47" s="65">
        <f>ROUND(+IF('PART 2025'!$I$19&lt;1,'PISO 2021'!Q46*'PART 2025'!$G$19,'PISO 2021'!K46+Copete!D46),2)</f>
        <v>2081977.91</v>
      </c>
      <c r="E47" s="65">
        <f>ROUND('Art.14 Frac.III'!O46,2)</f>
        <v>3288701.96</v>
      </c>
      <c r="F47" s="65">
        <f>ROUND(+IF('PART 2025'!$I$20&lt;1,'PISO 2021'!Q46*'PART 2025'!$G$20,'PISO 2021'!L46+Copete!E46),2)</f>
        <v>393492.66</v>
      </c>
      <c r="G47" s="65">
        <f>ROUND(+IF('PART 2025'!$I$21&lt;1,'PISO 2021'!Q46*'PART 2025'!$G$21,'PISO 2021'!M46+Copete!F46),2)</f>
        <v>915408.63</v>
      </c>
      <c r="H47" s="65">
        <f>ROUND(+IF('PART 2025'!$I$22&lt;1,'PISO 2021'!Q46*'PART 2025'!$G$22,'PISO 2021'!N46+Copete!G46),2)</f>
        <v>447109.66</v>
      </c>
      <c r="I47" s="65">
        <f>ROUND(+IF('PART 2025'!$I$23&lt;1,'PISO 2021'!Q46*'PART 2025'!$G$23,'PISO 2021'!O46+Copete!H46),2)</f>
        <v>67135.81</v>
      </c>
      <c r="J47" s="65">
        <f>ROUND('COEF Art 14 F II'!K48,2)</f>
        <v>187699.04</v>
      </c>
      <c r="K47" s="65">
        <f>+'ISR BI'!E45</f>
        <v>49228.81</v>
      </c>
      <c r="L47" s="166">
        <f t="shared" si="0"/>
        <v>21414349.169999994</v>
      </c>
    </row>
    <row r="48" spans="1:12">
      <c r="A48" s="85">
        <v>53</v>
      </c>
      <c r="B48" s="221" t="s">
        <v>28</v>
      </c>
      <c r="C48" s="65">
        <f>ROUND(+IF('PART 2025'!$I$18&lt;1,'PISO 2021'!Q46*'PART 2025'!$G$18,'PISO 2021'!J47+Copete!C47),2)</f>
        <v>14617308.67</v>
      </c>
      <c r="D48" s="65">
        <f>ROUND(+IF('PART 2025'!$I$19&lt;1,'PISO 2021'!Q47*'PART 2025'!$G$19,'PISO 2021'!K47+Copete!D47),2)</f>
        <v>2149273.83</v>
      </c>
      <c r="E48" s="65">
        <f>ROUND('Art.14 Frac.III'!O47,2)</f>
        <v>1762620.01</v>
      </c>
      <c r="F48" s="65">
        <f>ROUND(+IF('PART 2025'!$I$20&lt;1,'PISO 2021'!Q47*'PART 2025'!$G$20,'PISO 2021'!L47+Copete!E47),2)</f>
        <v>423277.09</v>
      </c>
      <c r="G48" s="65">
        <f>ROUND(+IF('PART 2025'!$I$21&lt;1,'PISO 2021'!Q47*'PART 2025'!$G$21,'PISO 2021'!M47+Copete!F47),2)</f>
        <v>937438.26</v>
      </c>
      <c r="H48" s="65">
        <f>ROUND(+IF('PART 2025'!$I$22&lt;1,'PISO 2021'!Q47*'PART 2025'!$G$22,'PISO 2021'!N47+Copete!G47),2)</f>
        <v>458291.33</v>
      </c>
      <c r="I48" s="65">
        <f>ROUND(+IF('PART 2025'!$I$23&lt;1,'PISO 2021'!Q47*'PART 2025'!$G$23,'PISO 2021'!O47+Copete!H47),2)</f>
        <v>72738.179999999993</v>
      </c>
      <c r="J48" s="65">
        <f>ROUND('COEF Art 14 F II'!K49,2)</f>
        <v>119050.15</v>
      </c>
      <c r="K48" s="65">
        <f>+'ISR BI'!E46</f>
        <v>853.12</v>
      </c>
      <c r="L48" s="166">
        <f t="shared" si="0"/>
        <v>20540850.640000001</v>
      </c>
    </row>
    <row r="49" spans="1:12">
      <c r="A49" s="85">
        <v>54</v>
      </c>
      <c r="B49" s="221" t="s">
        <v>29</v>
      </c>
      <c r="C49" s="65">
        <f>ROUND(+IF('PART 2025'!$I$18&lt;1,'PISO 2021'!Q47*'PART 2025'!$G$18,'PISO 2021'!J48+Copete!C48),2)</f>
        <v>41247060.979999997</v>
      </c>
      <c r="D49" s="65">
        <f>ROUND(+IF('PART 2025'!$I$19&lt;1,'PISO 2021'!Q48*'PART 2025'!$G$19,'PISO 2021'!K48+Copete!D48),2)</f>
        <v>6042508.8200000003</v>
      </c>
      <c r="E49" s="65">
        <f>ROUND('Art.14 Frac.III'!O48,2)</f>
        <v>4457464.9000000004</v>
      </c>
      <c r="F49" s="65">
        <f>ROUND(+IF('PART 2025'!$I$20&lt;1,'PISO 2021'!Q48*'PART 2025'!$G$20,'PISO 2021'!L48+Copete!E48),2)</f>
        <v>1204253.96</v>
      </c>
      <c r="G49" s="65">
        <f>ROUND(+IF('PART 2025'!$I$21&lt;1,'PISO 2021'!Q48*'PART 2025'!$G$21,'PISO 2021'!M48+Copete!F48),2)</f>
        <v>2629221.79</v>
      </c>
      <c r="H49" s="65">
        <f>ROUND(+IF('PART 2025'!$I$22&lt;1,'PISO 2021'!Q48*'PART 2025'!$G$22,'PISO 2021'!N48+Copete!G48),2)</f>
        <v>1285719.1000000001</v>
      </c>
      <c r="I49" s="65">
        <f>ROUND(+IF('PART 2025'!$I$23&lt;1,'PISO 2021'!Q48*'PART 2025'!$G$23,'PISO 2021'!O48+Copete!H48),2)</f>
        <v>207362.49</v>
      </c>
      <c r="J49" s="65">
        <f>ROUND('COEF Art 14 F II'!K50,2)</f>
        <v>791871.57</v>
      </c>
      <c r="K49" s="65">
        <f>+'ISR BI'!E47</f>
        <v>185974.55</v>
      </c>
      <c r="L49" s="166">
        <f t="shared" si="0"/>
        <v>58051438.159999996</v>
      </c>
    </row>
    <row r="50" spans="1:12">
      <c r="A50" s="85">
        <v>55</v>
      </c>
      <c r="B50" s="221" t="s">
        <v>30</v>
      </c>
      <c r="C50" s="65">
        <f>ROUND(+IF('PART 2025'!$I$18&lt;1,'PISO 2021'!Q48*'PART 2025'!$G$18,'PISO 2021'!J49+Copete!C49),2)</f>
        <v>52476608.810000002</v>
      </c>
      <c r="D50" s="65">
        <f>ROUND(+IF('PART 2025'!$I$19&lt;1,'PISO 2021'!Q49*'PART 2025'!$G$19,'PISO 2021'!K49+Copete!D49),2)</f>
        <v>8158648.4100000001</v>
      </c>
      <c r="E50" s="65">
        <f>ROUND('Art.14 Frac.III'!O49,2)</f>
        <v>6357691.4699999997</v>
      </c>
      <c r="F50" s="65">
        <f>ROUND(+IF('PART 2025'!$I$20&lt;1,'PISO 2021'!Q49*'PART 2025'!$G$20,'PISO 2021'!L49+Copete!E49),2)</f>
        <v>1324021.6200000001</v>
      </c>
      <c r="G50" s="65">
        <f>ROUND(+IF('PART 2025'!$I$21&lt;1,'PISO 2021'!Q49*'PART 2025'!$G$21,'PISO 2021'!M49+Copete!F49),2)</f>
        <v>3683757.27</v>
      </c>
      <c r="H50" s="65">
        <f>ROUND(+IF('PART 2025'!$I$22&lt;1,'PISO 2021'!Q49*'PART 2025'!$G$22,'PISO 2021'!N49+Copete!G49),2)</f>
        <v>1793856.57</v>
      </c>
      <c r="I50" s="65">
        <f>ROUND(+IF('PART 2025'!$I$23&lt;1,'PISO 2021'!Q49*'PART 2025'!$G$23,'PISO 2021'!O49+Copete!H49),2)</f>
        <v>219247.88</v>
      </c>
      <c r="J50" s="65">
        <f>ROUND('COEF Art 14 F II'!K51,2)</f>
        <v>2165589.12</v>
      </c>
      <c r="K50" s="65">
        <f>+'ISR BI'!E48</f>
        <v>6461729.9699999997</v>
      </c>
      <c r="L50" s="166">
        <f t="shared" si="0"/>
        <v>82641151.11999999</v>
      </c>
    </row>
    <row r="51" spans="1:12">
      <c r="A51" s="85">
        <v>58</v>
      </c>
      <c r="B51" s="221" t="s">
        <v>130</v>
      </c>
      <c r="C51" s="65">
        <f>ROUND(+IF('PART 2025'!$I$18&lt;1,'PISO 2021'!Q49*'PART 2025'!$G$18,'PISO 2021'!J50+Copete!C50),2)</f>
        <v>388123642.26999998</v>
      </c>
      <c r="D51" s="65">
        <f>ROUND(+IF('PART 2025'!$I$19&lt;1,'PISO 2021'!Q50*'PART 2025'!$G$19,'PISO 2021'!K50+Copete!D50),2)</f>
        <v>58739582.789999999</v>
      </c>
      <c r="E51" s="65">
        <f>ROUND('Art.14 Frac.III'!O50,2)</f>
        <v>12076836.91</v>
      </c>
      <c r="F51" s="65">
        <f>ROUND(+IF('PART 2025'!$I$20&lt;1,'PISO 2021'!Q50*'PART 2025'!$G$20,'PISO 2021'!L50+Copete!E50),2)</f>
        <v>10500675.02</v>
      </c>
      <c r="G51" s="65">
        <f>ROUND(+IF('PART 2025'!$I$21&lt;1,'PISO 2021'!Q50*'PART 2025'!$G$21,'PISO 2021'!M50+Copete!F50),2)</f>
        <v>26092994.809999999</v>
      </c>
      <c r="H51" s="65">
        <f>ROUND(+IF('PART 2025'!$I$22&lt;1,'PISO 2021'!Q50*'PART 2025'!$G$22,'PISO 2021'!N50+Copete!G50),2)</f>
        <v>12729648.060000001</v>
      </c>
      <c r="I51" s="65">
        <f>ROUND(+IF('PART 2025'!$I$23&lt;1,'PISO 2021'!Q50*'PART 2025'!$G$23,'PISO 2021'!O50+Copete!H50),2)</f>
        <v>1773234.44</v>
      </c>
      <c r="J51" s="65">
        <f>ROUND('COEF Art 14 F II'!K52,2)</f>
        <v>10020025.949999999</v>
      </c>
      <c r="K51" s="65">
        <f>+'ISR BI'!E49</f>
        <v>6560583.5999999996</v>
      </c>
      <c r="L51" s="166">
        <f t="shared" si="0"/>
        <v>526617223.85000002</v>
      </c>
    </row>
    <row r="52" spans="1:12">
      <c r="A52" s="85">
        <v>31</v>
      </c>
      <c r="B52" s="221" t="s">
        <v>131</v>
      </c>
      <c r="C52" s="65">
        <f>ROUND(+IF('PART 2025'!$I$18&lt;1,'PISO 2021'!Q50*'PART 2025'!$G$18,'PISO 2021'!J51+Copete!C51),2)</f>
        <v>754216611.58000004</v>
      </c>
      <c r="D52" s="65">
        <f>ROUND(+IF('PART 2025'!$I$19&lt;1,'PISO 2021'!Q51*'PART 2025'!$G$19,'PISO 2021'!K51+Copete!D51),2)</f>
        <v>114244120.61</v>
      </c>
      <c r="E52" s="65">
        <f>ROUND('Art.14 Frac.III'!O51,2)</f>
        <v>23676000.550000001</v>
      </c>
      <c r="F52" s="65">
        <f>ROUND(+IF('PART 2025'!$I$20&lt;1,'PISO 2021'!Q51*'PART 2025'!$G$20,'PISO 2021'!L51+Copete!E51),2)</f>
        <v>20361519.600000001</v>
      </c>
      <c r="G52" s="65">
        <f>ROUND(+IF('PART 2025'!$I$21&lt;1,'PISO 2021'!Q51*'PART 2025'!$G$21,'PISO 2021'!M51+Copete!F51),2)</f>
        <v>50776181.609999999</v>
      </c>
      <c r="H52" s="65">
        <f>ROUND(+IF('PART 2025'!$I$22&lt;1,'PISO 2021'!Q51*'PART 2025'!$G$22,'PISO 2021'!N51+Copete!G51),2)</f>
        <v>24770006.600000001</v>
      </c>
      <c r="I52" s="65">
        <f>ROUND(+IF('PART 2025'!$I$23&lt;1,'PISO 2021'!Q51*'PART 2025'!$G$23,'PISO 2021'!O51+Copete!H51),2)</f>
        <v>3436437.33</v>
      </c>
      <c r="J52" s="65">
        <f>ROUND('COEF Art 14 F II'!K53,2)</f>
        <v>8099437.8499999996</v>
      </c>
      <c r="K52" s="65">
        <f>+'ISR BI'!E50</f>
        <v>29163003.75</v>
      </c>
      <c r="L52" s="166">
        <f t="shared" si="0"/>
        <v>1028743319.4800001</v>
      </c>
    </row>
    <row r="53" spans="1:12">
      <c r="A53" s="85">
        <v>57</v>
      </c>
      <c r="B53" s="221" t="s">
        <v>31</v>
      </c>
      <c r="C53" s="65">
        <f>ROUND(+IF('PART 2025'!$I$18&lt;1,'PISO 2021'!Q51*'PART 2025'!$G$18,'PISO 2021'!J52+Copete!C52),2)</f>
        <v>199781366.16999999</v>
      </c>
      <c r="D53" s="65">
        <f>ROUND(+IF('PART 2025'!$I$19&lt;1,'PISO 2021'!Q52*'PART 2025'!$G$19,'PISO 2021'!K52+Copete!D52),2)</f>
        <v>30181803.73</v>
      </c>
      <c r="E53" s="65">
        <f>ROUND('Art.14 Frac.III'!O52,2)</f>
        <v>7164472.3300000001</v>
      </c>
      <c r="F53" s="65">
        <f>ROUND(+IF('PART 2025'!$I$20&lt;1,'PISO 2021'!Q52*'PART 2025'!$G$20,'PISO 2021'!L52+Copete!E52),2)</f>
        <v>5428756.4199999999</v>
      </c>
      <c r="G53" s="65">
        <f>ROUND(+IF('PART 2025'!$I$21&lt;1,'PISO 2021'!Q52*'PART 2025'!$G$21,'PISO 2021'!M52+Copete!F52),2)</f>
        <v>13392473.59</v>
      </c>
      <c r="H53" s="65">
        <f>ROUND(+IF('PART 2025'!$I$22&lt;1,'PISO 2021'!Q52*'PART 2025'!$G$22,'PISO 2021'!N52+Copete!G52),2)</f>
        <v>6534424.5800000001</v>
      </c>
      <c r="I53" s="65">
        <f>ROUND(+IF('PART 2025'!$I$23&lt;1,'PISO 2021'!Q52*'PART 2025'!$G$23,'PISO 2021'!O52+Copete!H52),2)</f>
        <v>917819.42</v>
      </c>
      <c r="J53" s="65">
        <f>ROUND('COEF Art 14 F II'!K54,2)</f>
        <v>6913292.8200000003</v>
      </c>
      <c r="K53" s="65">
        <f>+'ISR BI'!E51</f>
        <v>9072108.1699999999</v>
      </c>
      <c r="L53" s="166">
        <f t="shared" si="0"/>
        <v>279386517.23000002</v>
      </c>
    </row>
    <row r="54" spans="1:12">
      <c r="A54" s="85">
        <v>56</v>
      </c>
      <c r="B54" s="221" t="s">
        <v>32</v>
      </c>
      <c r="C54" s="65">
        <f>ROUND(+IF('PART 2025'!$I$18&lt;1,'PISO 2021'!Q52*'PART 2025'!$G$18,'PISO 2021'!J53+Copete!C53),2)</f>
        <v>75002037.599999994</v>
      </c>
      <c r="D54" s="65">
        <f>ROUND(+IF('PART 2025'!$I$19&lt;1,'PISO 2021'!Q53*'PART 2025'!$G$19,'PISO 2021'!K53+Copete!D53),2)</f>
        <v>11574951.43</v>
      </c>
      <c r="E54" s="65">
        <f>ROUND('Art.14 Frac.III'!O53,2)</f>
        <v>6241562.9000000004</v>
      </c>
      <c r="F54" s="65">
        <f>ROUND(+IF('PART 2025'!$I$20&lt;1,'PISO 2021'!Q53*'PART 2025'!$G$20,'PISO 2021'!L53+Copete!E53),2)</f>
        <v>1930244.07</v>
      </c>
      <c r="G54" s="65">
        <f>ROUND(+IF('PART 2025'!$I$21&lt;1,'PISO 2021'!Q53*'PART 2025'!$G$21,'PISO 2021'!M53+Copete!F53),2)</f>
        <v>5203322.37</v>
      </c>
      <c r="H54" s="65">
        <f>ROUND(+IF('PART 2025'!$I$22&lt;1,'PISO 2021'!Q53*'PART 2025'!$G$22,'PISO 2021'!N53+Copete!G53),2)</f>
        <v>2535076.86</v>
      </c>
      <c r="I54" s="65">
        <f>ROUND(+IF('PART 2025'!$I$23&lt;1,'PISO 2021'!Q53*'PART 2025'!$G$23,'PISO 2021'!O53+Copete!H53),2)</f>
        <v>321474.71000000002</v>
      </c>
      <c r="J54" s="65">
        <f>ROUND('COEF Art 14 F II'!K55,2)</f>
        <v>1511464.2</v>
      </c>
      <c r="K54" s="65">
        <f>+'ISR BI'!E52</f>
        <v>6814971.9900000002</v>
      </c>
      <c r="L54" s="166">
        <f t="shared" si="0"/>
        <v>111135106.13</v>
      </c>
    </row>
    <row r="55" spans="1:12">
      <c r="A55" s="85">
        <v>59</v>
      </c>
      <c r="B55" s="221" t="s">
        <v>33</v>
      </c>
      <c r="C55" s="65">
        <f>ROUND(+IF('PART 2025'!$I$18&lt;1,'PISO 2021'!Q53*'PART 2025'!$G$18,'PISO 2021'!J54+Copete!C54),2)</f>
        <v>15772193.470000001</v>
      </c>
      <c r="D55" s="65">
        <f>ROUND(+IF('PART 2025'!$I$19&lt;1,'PISO 2021'!Q54*'PART 2025'!$G$19,'PISO 2021'!K54+Copete!D54),2)</f>
        <v>2447619.54</v>
      </c>
      <c r="E55" s="65">
        <f>ROUND('Art.14 Frac.III'!O54,2)</f>
        <v>15590979.939999999</v>
      </c>
      <c r="F55" s="65">
        <f>ROUND(+IF('PART 2025'!$I$20&lt;1,'PISO 2021'!Q54*'PART 2025'!$G$20,'PISO 2021'!L54+Copete!E54),2)</f>
        <v>399938.64</v>
      </c>
      <c r="G55" s="65">
        <f>ROUND(+IF('PART 2025'!$I$21&lt;1,'PISO 2021'!Q54*'PART 2025'!$G$21,'PISO 2021'!M54+Copete!F54),2)</f>
        <v>1103930.07</v>
      </c>
      <c r="H55" s="65">
        <f>ROUND(+IF('PART 2025'!$I$22&lt;1,'PISO 2021'!Q54*'PART 2025'!$G$22,'PISO 2021'!N54+Copete!G54),2)</f>
        <v>537639.68000000005</v>
      </c>
      <c r="I55" s="65">
        <f>ROUND(+IF('PART 2025'!$I$23&lt;1,'PISO 2021'!Q54*'PART 2025'!$G$23,'PISO 2021'!O54+Copete!H54),2)</f>
        <v>66323.73</v>
      </c>
      <c r="J55" s="65">
        <f>ROUND('COEF Art 14 F II'!K56,2)</f>
        <v>180091.68</v>
      </c>
      <c r="K55" s="65">
        <f>+'ISR BI'!E53</f>
        <v>50487.46</v>
      </c>
      <c r="L55" s="166">
        <f t="shared" si="0"/>
        <v>36149204.210000001</v>
      </c>
    </row>
    <row r="56" spans="1:12">
      <c r="A56" s="85">
        <v>60</v>
      </c>
      <c r="B56" s="221" t="s">
        <v>34</v>
      </c>
      <c r="C56" s="65">
        <f>ROUND(+IF('PART 2025'!$I$18&lt;1,'PISO 2021'!Q54*'PART 2025'!$G$18,'PISO 2021'!J55+Copete!C55),2)</f>
        <v>16722901.98</v>
      </c>
      <c r="D56" s="65">
        <f>ROUND(+IF('PART 2025'!$I$19&lt;1,'PISO 2021'!Q55*'PART 2025'!$G$19,'PISO 2021'!K55+Copete!D55),2)</f>
        <v>2505115.42</v>
      </c>
      <c r="E56" s="65">
        <f>ROUND('Art.14 Frac.III'!O55,2)</f>
        <v>22228636.890000001</v>
      </c>
      <c r="F56" s="65">
        <f>ROUND(+IF('PART 2025'!$I$20&lt;1,'PISO 2021'!Q55*'PART 2025'!$G$20,'PISO 2021'!L55+Copete!E55),2)</f>
        <v>463821.38</v>
      </c>
      <c r="G56" s="65">
        <f>ROUND(+IF('PART 2025'!$I$21&lt;1,'PISO 2021'!Q55*'PART 2025'!$G$21,'PISO 2021'!M55+Copete!F55),2)</f>
        <v>1105726.49</v>
      </c>
      <c r="H56" s="65">
        <f>ROUND(+IF('PART 2025'!$I$22&lt;1,'PISO 2021'!Q55*'PART 2025'!$G$22,'PISO 2021'!N55+Copete!G55),2)</f>
        <v>539827.53</v>
      </c>
      <c r="I56" s="65">
        <f>ROUND(+IF('PART 2025'!$I$23&lt;1,'PISO 2021'!Q55*'PART 2025'!$G$23,'PISO 2021'!O55+Copete!H55),2)</f>
        <v>78840.69</v>
      </c>
      <c r="J56" s="65">
        <f>ROUND('COEF Art 14 F II'!K57,2)</f>
        <v>174749.32</v>
      </c>
      <c r="K56" s="65">
        <f>+'ISR BI'!E54</f>
        <v>14644.01</v>
      </c>
      <c r="L56" s="166">
        <f t="shared" si="0"/>
        <v>43834263.710000001</v>
      </c>
    </row>
    <row r="57" spans="1:12">
      <c r="B57" s="167" t="s">
        <v>35</v>
      </c>
      <c r="C57" s="222">
        <f t="shared" ref="C57:K57" si="1">SUM(C6:C56)</f>
        <v>5449641161.8699999</v>
      </c>
      <c r="D57" s="222">
        <f t="shared" si="1"/>
        <v>826481149.9599998</v>
      </c>
      <c r="E57" s="222">
        <f t="shared" si="1"/>
        <v>316120420.10000002</v>
      </c>
      <c r="F57" s="222">
        <f t="shared" si="1"/>
        <v>146680483.64999995</v>
      </c>
      <c r="G57" s="222">
        <f t="shared" si="1"/>
        <v>367607708.76999998</v>
      </c>
      <c r="H57" s="222">
        <f t="shared" si="1"/>
        <v>179313866.19000003</v>
      </c>
      <c r="I57" s="222">
        <f t="shared" si="1"/>
        <v>24735319.219999999</v>
      </c>
      <c r="J57" s="222">
        <f t="shared" si="1"/>
        <v>144596187.00999999</v>
      </c>
      <c r="K57" s="222">
        <f t="shared" si="1"/>
        <v>179248524.18999997</v>
      </c>
      <c r="L57" s="223">
        <f>SUM(L6:L56)</f>
        <v>7634424820.96</v>
      </c>
    </row>
    <row r="58" spans="1:12" ht="16.5" customHeight="1">
      <c r="B58" s="37" t="s">
        <v>139</v>
      </c>
      <c r="C58" s="66"/>
      <c r="D58" s="69"/>
      <c r="E58" s="69"/>
      <c r="F58" s="57"/>
    </row>
    <row r="59" spans="1:12">
      <c r="B59" s="213" t="s">
        <v>201</v>
      </c>
      <c r="C59" s="67"/>
    </row>
    <row r="60" spans="1:12">
      <c r="B60" s="42"/>
      <c r="C60" s="67"/>
    </row>
    <row r="61" spans="1:12" ht="16.5" customHeight="1"/>
  </sheetData>
  <mergeCells count="4">
    <mergeCell ref="B1:L1"/>
    <mergeCell ref="B2:L2"/>
    <mergeCell ref="B3:L3"/>
    <mergeCell ref="B4:L4"/>
  </mergeCells>
  <printOptions horizontalCentered="1"/>
  <pageMargins left="0.19685039370078741" right="0.19685039370078741" top="0.15748031496062992" bottom="0.15748031496062992" header="0.15748031496062992" footer="0.15748031496062992"/>
  <pageSetup scale="75" orientation="landscape" r:id="rId1"/>
  <headerFooter alignWithMargins="0">
    <oddHeader>&amp;LANEXO III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6"/>
  <sheetViews>
    <sheetView showGridLines="0" topLeftCell="A22" zoomScaleNormal="100" workbookViewId="0">
      <selection activeCell="N14" sqref="N14"/>
    </sheetView>
  </sheetViews>
  <sheetFormatPr baseColWidth="10" defaultColWidth="9.7109375" defaultRowHeight="12.75"/>
  <cols>
    <col min="1" max="1" width="3" style="2" bestFit="1" customWidth="1"/>
    <col min="2" max="2" width="28.85546875" style="2" customWidth="1"/>
    <col min="3" max="7" width="15.7109375" style="2" customWidth="1"/>
    <col min="8" max="8" width="12.42578125" style="2" customWidth="1"/>
    <col min="9" max="9" width="13.7109375" style="2" customWidth="1"/>
    <col min="10" max="10" width="11.28515625" style="11" customWidth="1"/>
    <col min="11" max="11" width="12" style="2" customWidth="1"/>
    <col min="12" max="12" width="13.7109375" style="2" customWidth="1"/>
    <col min="13" max="13" width="10.85546875" style="11" customWidth="1"/>
    <col min="14" max="14" width="16.42578125" style="13" customWidth="1"/>
    <col min="15" max="15" width="18" style="2" customWidth="1"/>
    <col min="16" max="16" width="16.140625" style="2" customWidth="1"/>
    <col min="17" max="17" width="14.140625" style="2" customWidth="1"/>
    <col min="18" max="18" width="15.5703125" style="2" customWidth="1"/>
    <col min="19" max="19" width="16.140625" style="2" customWidth="1"/>
    <col min="20" max="20" width="13.140625" style="2" customWidth="1"/>
    <col min="21" max="21" width="14" style="2" customWidth="1"/>
    <col min="22" max="22" width="12.85546875" style="2" customWidth="1"/>
    <col min="23" max="23" width="14.42578125" style="2" customWidth="1"/>
    <col min="24" max="24" width="16.85546875" style="2" customWidth="1"/>
    <col min="25" max="25" width="14.140625" style="11" customWidth="1"/>
    <col min="26" max="28" width="18.42578125" style="2" customWidth="1"/>
    <col min="29" max="29" width="20.140625" style="2" customWidth="1"/>
    <col min="30" max="30" width="16.140625" style="2" bestFit="1" customWidth="1"/>
    <col min="31" max="31" width="13.140625" style="82" bestFit="1" customWidth="1"/>
    <col min="32" max="32" width="13" style="2" customWidth="1"/>
    <col min="33" max="33" width="11.140625" style="2" bestFit="1" customWidth="1"/>
    <col min="34" max="16384" width="9.7109375" style="2"/>
  </cols>
  <sheetData>
    <row r="1" spans="1:32" ht="26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2" ht="18">
      <c r="C2" s="255" t="s">
        <v>75</v>
      </c>
      <c r="D2" s="255"/>
      <c r="E2" s="255"/>
      <c r="F2" s="255"/>
      <c r="G2" s="255"/>
      <c r="H2" s="256" t="s">
        <v>43</v>
      </c>
      <c r="I2" s="256"/>
      <c r="J2" s="256"/>
      <c r="K2" s="256"/>
      <c r="L2" s="256"/>
      <c r="M2" s="256"/>
      <c r="N2" s="256"/>
      <c r="O2" s="256" t="s">
        <v>65</v>
      </c>
      <c r="P2" s="256"/>
      <c r="Q2" s="256"/>
      <c r="R2" s="256"/>
      <c r="S2" s="256"/>
      <c r="T2" s="256"/>
      <c r="U2" s="255" t="s">
        <v>65</v>
      </c>
      <c r="V2" s="255"/>
      <c r="W2" s="255"/>
      <c r="X2" s="255"/>
      <c r="Y2" s="255"/>
      <c r="Z2" s="255" t="s">
        <v>86</v>
      </c>
      <c r="AA2" s="255"/>
      <c r="AB2" s="255"/>
      <c r="AC2" s="255"/>
      <c r="AD2" s="255"/>
    </row>
    <row r="3" spans="1:32" ht="63.75">
      <c r="B3" s="201" t="s">
        <v>0</v>
      </c>
      <c r="C3" s="201" t="s">
        <v>186</v>
      </c>
      <c r="D3" s="201" t="s">
        <v>187</v>
      </c>
      <c r="E3" s="205" t="s">
        <v>84</v>
      </c>
      <c r="F3" s="206" t="s">
        <v>85</v>
      </c>
      <c r="G3" s="207" t="s">
        <v>58</v>
      </c>
      <c r="H3" s="201" t="s">
        <v>135</v>
      </c>
      <c r="I3" s="205" t="s">
        <v>55</v>
      </c>
      <c r="J3" s="208">
        <v>0.85</v>
      </c>
      <c r="K3" s="201" t="s">
        <v>41</v>
      </c>
      <c r="L3" s="205" t="s">
        <v>56</v>
      </c>
      <c r="M3" s="208">
        <v>0.15</v>
      </c>
      <c r="N3" s="209" t="s">
        <v>57</v>
      </c>
      <c r="O3" s="202" t="s">
        <v>167</v>
      </c>
      <c r="P3" s="202" t="s">
        <v>168</v>
      </c>
      <c r="Q3" s="202" t="s">
        <v>171</v>
      </c>
      <c r="R3" s="201" t="s">
        <v>170</v>
      </c>
      <c r="S3" s="203" t="s">
        <v>148</v>
      </c>
      <c r="T3" s="203" t="s">
        <v>149</v>
      </c>
      <c r="U3" s="201" t="s">
        <v>189</v>
      </c>
      <c r="V3" s="202" t="s">
        <v>150</v>
      </c>
      <c r="W3" s="204" t="s">
        <v>151</v>
      </c>
      <c r="X3" s="203" t="s">
        <v>190</v>
      </c>
      <c r="Y3" s="201" t="s">
        <v>191</v>
      </c>
      <c r="Z3" s="205" t="s">
        <v>68</v>
      </c>
      <c r="AA3" s="205" t="s">
        <v>66</v>
      </c>
      <c r="AB3" s="205" t="s">
        <v>67</v>
      </c>
      <c r="AC3" s="205" t="s">
        <v>184</v>
      </c>
      <c r="AD3" s="205" t="s">
        <v>59</v>
      </c>
    </row>
    <row r="4" spans="1:32" s="4" customFormat="1" ht="22.5">
      <c r="B4" s="10"/>
      <c r="C4" s="29" t="s">
        <v>115</v>
      </c>
      <c r="D4" s="22" t="s">
        <v>116</v>
      </c>
      <c r="E4" s="22" t="s">
        <v>37</v>
      </c>
      <c r="F4" s="22" t="s">
        <v>38</v>
      </c>
      <c r="G4" s="30" t="s">
        <v>51</v>
      </c>
      <c r="H4" s="10" t="s">
        <v>40</v>
      </c>
      <c r="I4" s="22" t="s">
        <v>49</v>
      </c>
      <c r="J4" s="26" t="s">
        <v>52</v>
      </c>
      <c r="K4" s="3" t="s">
        <v>42</v>
      </c>
      <c r="L4" s="22" t="s">
        <v>53</v>
      </c>
      <c r="M4" s="26" t="s">
        <v>54</v>
      </c>
      <c r="N4" s="27" t="s">
        <v>44</v>
      </c>
      <c r="O4" s="3" t="s">
        <v>152</v>
      </c>
      <c r="P4" s="3" t="s">
        <v>153</v>
      </c>
      <c r="Q4" s="3" t="s">
        <v>154</v>
      </c>
      <c r="R4" s="3" t="s">
        <v>155</v>
      </c>
      <c r="S4" s="10" t="s">
        <v>156</v>
      </c>
      <c r="T4" s="10" t="s">
        <v>157</v>
      </c>
      <c r="U4" s="3" t="s">
        <v>158</v>
      </c>
      <c r="V4" s="3" t="s">
        <v>159</v>
      </c>
      <c r="W4" s="3" t="s">
        <v>160</v>
      </c>
      <c r="X4" s="3" t="s">
        <v>161</v>
      </c>
      <c r="Y4" s="22" t="s">
        <v>162</v>
      </c>
      <c r="Z4" s="3">
        <f>+AC4*0.5</f>
        <v>1425134723.6867509</v>
      </c>
      <c r="AA4" s="3">
        <f>+AC4*0.25</f>
        <v>712567361.84337544</v>
      </c>
      <c r="AB4" s="3">
        <f>+AC4*0.25</f>
        <v>712567361.84337544</v>
      </c>
      <c r="AC4" s="3">
        <f>+'PART 2025'!I24</f>
        <v>2850269447.3735018</v>
      </c>
      <c r="AE4" s="83"/>
    </row>
    <row r="5" spans="1:32" s="6" customFormat="1" ht="23.25" customHeight="1">
      <c r="B5" s="5"/>
      <c r="G5" s="9"/>
      <c r="H5" s="5"/>
      <c r="J5" s="7"/>
      <c r="M5" s="7"/>
      <c r="N5" s="8"/>
      <c r="O5" s="72"/>
      <c r="P5" s="72"/>
      <c r="Q5" s="72"/>
      <c r="R5" s="72"/>
      <c r="S5" s="73"/>
      <c r="T5" s="73"/>
      <c r="U5" s="72"/>
      <c r="V5" s="72"/>
      <c r="W5" s="72"/>
      <c r="X5" s="74"/>
      <c r="Y5" s="2"/>
      <c r="Z5" s="3" t="s">
        <v>76</v>
      </c>
      <c r="AA5" s="3" t="s">
        <v>77</v>
      </c>
      <c r="AB5" s="3" t="s">
        <v>48</v>
      </c>
      <c r="AC5" s="10" t="s">
        <v>78</v>
      </c>
      <c r="AD5" s="10" t="s">
        <v>46</v>
      </c>
      <c r="AE5" s="84"/>
    </row>
    <row r="6" spans="1:32">
      <c r="A6" s="85">
        <v>15</v>
      </c>
      <c r="B6" s="94" t="s">
        <v>1</v>
      </c>
      <c r="C6" s="179">
        <v>741807</v>
      </c>
      <c r="D6" s="179">
        <v>581848.32000000007</v>
      </c>
      <c r="E6" s="180">
        <f t="shared" ref="E6:E37" si="0">+D6/C6</f>
        <v>0.78436617610780168</v>
      </c>
      <c r="F6" s="179">
        <f>+E6*D6</f>
        <v>456382.14183314861</v>
      </c>
      <c r="G6" s="198">
        <f t="shared" ref="G6:G37" si="1">+F6/F$57</f>
        <v>2.0291670336451624E-4</v>
      </c>
      <c r="H6" s="111">
        <v>2974</v>
      </c>
      <c r="I6" s="181">
        <f t="shared" ref="I6:I37" si="2">+H6/$H$57</f>
        <v>5.141377508841821E-4</v>
      </c>
      <c r="J6" s="182">
        <f>+I6*J$3</f>
        <v>4.3701708825155477E-4</v>
      </c>
      <c r="K6" s="179">
        <v>46.9</v>
      </c>
      <c r="L6" s="183">
        <f t="shared" ref="L6:L37" si="3">+K6/$K$57</f>
        <v>7.3102605507790314E-4</v>
      </c>
      <c r="M6" s="182">
        <f>+L6*M$3</f>
        <v>1.0965390826168547E-4</v>
      </c>
      <c r="N6" s="198">
        <f>+M6+J6</f>
        <v>5.4667099651324028E-4</v>
      </c>
      <c r="O6" s="184">
        <v>296</v>
      </c>
      <c r="P6" s="184">
        <v>291</v>
      </c>
      <c r="Q6" s="185">
        <v>1.7570912812999999</v>
      </c>
      <c r="R6" s="186">
        <f>+P6/P$57</f>
        <v>2.7055597858981759E-4</v>
      </c>
      <c r="S6" s="187">
        <f t="shared" ref="S6:S56" si="4">+Q6*R6</f>
        <v>4.7539155108375792E-4</v>
      </c>
      <c r="T6" s="187">
        <f>+S6/S$57</f>
        <v>2.4656536212427173E-4</v>
      </c>
      <c r="U6" s="185">
        <f>0.85*T6</f>
        <v>2.0958055780563096E-4</v>
      </c>
      <c r="V6" s="186">
        <f t="shared" ref="V6:V56" si="5">+O6/P6</f>
        <v>1.0171821305841924</v>
      </c>
      <c r="W6" s="186">
        <f>+V6/V$57</f>
        <v>1.351657209931304E-2</v>
      </c>
      <c r="X6" s="185">
        <f>0.15*W6</f>
        <v>2.0274858148969558E-3</v>
      </c>
      <c r="Y6" s="180">
        <f t="shared" ref="Y6:Y56" si="6">+X6+U6</f>
        <v>2.2370663727025869E-3</v>
      </c>
      <c r="Z6" s="113">
        <f t="shared" ref="Z6:Z37" si="7">+G6*Z$4</f>
        <v>289183.63998081622</v>
      </c>
      <c r="AA6" s="113">
        <f t="shared" ref="AA6:AA37" si="8">+N6*AA$4</f>
        <v>389539.9097817287</v>
      </c>
      <c r="AB6" s="113">
        <f t="shared" ref="AB6:AB37" si="9">+Y6*AB$4</f>
        <v>1594060.4834652117</v>
      </c>
      <c r="AC6" s="113">
        <f>SUM(Z6:AB6)</f>
        <v>2272784.0332277566</v>
      </c>
      <c r="AD6" s="210">
        <f>+AC6/AC$57</f>
        <v>7.9739269398621491E-4</v>
      </c>
      <c r="AF6" s="81"/>
    </row>
    <row r="7" spans="1:32">
      <c r="A7" s="85">
        <v>11</v>
      </c>
      <c r="B7" s="95" t="s">
        <v>2</v>
      </c>
      <c r="C7" s="170">
        <v>2844290</v>
      </c>
      <c r="D7" s="170">
        <v>1003120</v>
      </c>
      <c r="E7" s="171">
        <f t="shared" si="0"/>
        <v>0.35267852434175134</v>
      </c>
      <c r="F7" s="170">
        <f t="shared" ref="F7:F56" si="10">+E7*D7</f>
        <v>353778.88133769762</v>
      </c>
      <c r="G7" s="199">
        <f t="shared" si="1"/>
        <v>1.5729722471760789E-4</v>
      </c>
      <c r="H7" s="108">
        <v>3382</v>
      </c>
      <c r="I7" s="172">
        <f t="shared" si="2"/>
        <v>5.8467177992276519E-4</v>
      </c>
      <c r="J7" s="173">
        <f t="shared" ref="J7:J56" si="11">+I7*J$3</f>
        <v>4.9697101293435045E-4</v>
      </c>
      <c r="K7" s="170">
        <v>980.9</v>
      </c>
      <c r="L7" s="174">
        <f t="shared" si="3"/>
        <v>1.528919951867623E-2</v>
      </c>
      <c r="M7" s="173">
        <f t="shared" ref="M7:M56" si="12">+L7*M$3</f>
        <v>2.2933799278014345E-3</v>
      </c>
      <c r="N7" s="199">
        <f t="shared" ref="N7:N56" si="13">+M7+J7</f>
        <v>2.7903509407357849E-3</v>
      </c>
      <c r="O7" s="175">
        <v>250</v>
      </c>
      <c r="P7" s="175">
        <v>278</v>
      </c>
      <c r="Q7" s="176">
        <v>1.7189329948000001</v>
      </c>
      <c r="R7" s="177">
        <f t="shared" ref="R7:R56" si="14">+P7/P$57</f>
        <v>2.5846928538821062E-4</v>
      </c>
      <c r="S7" s="178">
        <f t="shared" si="4"/>
        <v>4.4429138279617278E-4</v>
      </c>
      <c r="T7" s="178">
        <f t="shared" ref="T7:T56" si="15">+S7/S$57</f>
        <v>2.3043502863712235E-4</v>
      </c>
      <c r="U7" s="176">
        <f t="shared" ref="U7:U56" si="16">0.85*T7</f>
        <v>1.95869774341554E-4</v>
      </c>
      <c r="V7" s="177">
        <f t="shared" si="5"/>
        <v>0.89928057553956831</v>
      </c>
      <c r="W7" s="177">
        <f t="shared" ref="W7:W56" si="17">+V7/V$57</f>
        <v>1.1949866568941082E-2</v>
      </c>
      <c r="X7" s="176">
        <f t="shared" ref="X7:X56" si="18">0.15*W7</f>
        <v>1.7924799853411622E-3</v>
      </c>
      <c r="Y7" s="171">
        <f t="shared" si="6"/>
        <v>1.9883497596827164E-3</v>
      </c>
      <c r="Z7" s="92">
        <f t="shared" si="7"/>
        <v>224169.73688462088</v>
      </c>
      <c r="AA7" s="92">
        <f t="shared" si="8"/>
        <v>1988313.0084572791</v>
      </c>
      <c r="AB7" s="92">
        <f t="shared" si="9"/>
        <v>1416833.1426790229</v>
      </c>
      <c r="AC7" s="92">
        <f t="shared" ref="AC7:AC56" si="19">SUM(Z7:AB7)</f>
        <v>3629315.8880209224</v>
      </c>
      <c r="AD7" s="211">
        <f t="shared" ref="AD7:AD56" si="20">+AC7/AC$57</f>
        <v>1.2733237874634291E-3</v>
      </c>
      <c r="AF7" s="81"/>
    </row>
    <row r="8" spans="1:32">
      <c r="A8" s="85">
        <v>12</v>
      </c>
      <c r="B8" s="95" t="s">
        <v>132</v>
      </c>
      <c r="C8" s="170">
        <v>1323440</v>
      </c>
      <c r="D8" s="170">
        <v>267295</v>
      </c>
      <c r="E8" s="171">
        <f t="shared" si="0"/>
        <v>0.20196986640875295</v>
      </c>
      <c r="F8" s="170">
        <f t="shared" si="10"/>
        <v>53985.535441727618</v>
      </c>
      <c r="G8" s="199">
        <f t="shared" si="1"/>
        <v>2.4003057694594379E-5</v>
      </c>
      <c r="H8" s="108">
        <v>1407</v>
      </c>
      <c r="I8" s="172">
        <f t="shared" si="2"/>
        <v>2.4323867366981983E-4</v>
      </c>
      <c r="J8" s="173">
        <f t="shared" si="11"/>
        <v>2.0675287261934686E-4</v>
      </c>
      <c r="K8" s="170">
        <v>694.5</v>
      </c>
      <c r="L8" s="174">
        <f t="shared" si="3"/>
        <v>1.0825108640759142E-2</v>
      </c>
      <c r="M8" s="173">
        <f t="shared" si="12"/>
        <v>1.6237662961138713E-3</v>
      </c>
      <c r="N8" s="199">
        <f t="shared" si="13"/>
        <v>1.8305191687332182E-3</v>
      </c>
      <c r="O8" s="175">
        <v>366</v>
      </c>
      <c r="P8" s="175">
        <v>167</v>
      </c>
      <c r="Q8" s="176">
        <v>1.7050555638</v>
      </c>
      <c r="R8" s="177">
        <f t="shared" si="14"/>
        <v>1.5526752035910496E-4</v>
      </c>
      <c r="S8" s="178">
        <f t="shared" si="4"/>
        <v>2.6473974946572169E-4</v>
      </c>
      <c r="T8" s="178">
        <f t="shared" si="15"/>
        <v>1.3730923918798022E-4</v>
      </c>
      <c r="U8" s="176">
        <f t="shared" si="16"/>
        <v>1.1671285330978319E-4</v>
      </c>
      <c r="V8" s="177">
        <f t="shared" si="5"/>
        <v>2.191616766467066</v>
      </c>
      <c r="W8" s="177">
        <f t="shared" si="17"/>
        <v>2.9122755057643529E-2</v>
      </c>
      <c r="X8" s="176">
        <f t="shared" si="18"/>
        <v>4.3684132586465294E-3</v>
      </c>
      <c r="Y8" s="171">
        <f t="shared" si="6"/>
        <v>4.4851261119563121E-3</v>
      </c>
      <c r="Z8" s="92">
        <f t="shared" si="7"/>
        <v>34207.590995222898</v>
      </c>
      <c r="AA8" s="92">
        <f t="shared" si="8"/>
        <v>1304368.2148679579</v>
      </c>
      <c r="AB8" s="92">
        <f t="shared" si="9"/>
        <v>3195954.4811315453</v>
      </c>
      <c r="AC8" s="92">
        <f t="shared" si="19"/>
        <v>4534530.2869947255</v>
      </c>
      <c r="AD8" s="211">
        <f t="shared" si="20"/>
        <v>1.5909128490196795E-3</v>
      </c>
      <c r="AF8" s="81"/>
    </row>
    <row r="9" spans="1:32" ht="13.5" customHeight="1">
      <c r="A9" s="85">
        <v>13</v>
      </c>
      <c r="B9" s="95" t="s">
        <v>3</v>
      </c>
      <c r="C9" s="170">
        <v>62649143</v>
      </c>
      <c r="D9" s="170">
        <v>28681223.559999999</v>
      </c>
      <c r="E9" s="171">
        <f t="shared" si="0"/>
        <v>0.45780711732960178</v>
      </c>
      <c r="F9" s="170">
        <f t="shared" si="10"/>
        <v>13130468.279489458</v>
      </c>
      <c r="G9" s="199">
        <f t="shared" si="1"/>
        <v>5.8380709775459234E-3</v>
      </c>
      <c r="H9" s="108">
        <v>35289</v>
      </c>
      <c r="I9" s="172">
        <f t="shared" si="2"/>
        <v>6.1006748792709828E-3</v>
      </c>
      <c r="J9" s="173">
        <f t="shared" si="11"/>
        <v>5.1855736473803348E-3</v>
      </c>
      <c r="K9" s="170">
        <v>190.5</v>
      </c>
      <c r="L9" s="174">
        <f t="shared" si="3"/>
        <v>2.9693062578324213E-3</v>
      </c>
      <c r="M9" s="173">
        <f t="shared" si="12"/>
        <v>4.4539593867486317E-4</v>
      </c>
      <c r="N9" s="199">
        <f t="shared" si="13"/>
        <v>5.6309695860551979E-3</v>
      </c>
      <c r="O9" s="175">
        <v>6372</v>
      </c>
      <c r="P9" s="175">
        <v>6876</v>
      </c>
      <c r="Q9" s="176">
        <v>1.5964581414000001</v>
      </c>
      <c r="R9" s="177">
        <f t="shared" si="14"/>
        <v>6.3929309580191959E-3</v>
      </c>
      <c r="S9" s="178">
        <f t="shared" si="4"/>
        <v>1.0206046675337848E-2</v>
      </c>
      <c r="T9" s="178">
        <f t="shared" si="15"/>
        <v>5.2934419819306551E-3</v>
      </c>
      <c r="U9" s="176">
        <f t="shared" si="16"/>
        <v>4.499425684641057E-3</v>
      </c>
      <c r="V9" s="177">
        <f t="shared" si="5"/>
        <v>0.92670157068062831</v>
      </c>
      <c r="W9" s="177">
        <f t="shared" si="17"/>
        <v>1.2314243652174133E-2</v>
      </c>
      <c r="X9" s="176">
        <f t="shared" si="18"/>
        <v>1.8471365478261198E-3</v>
      </c>
      <c r="Y9" s="171">
        <f t="shared" si="6"/>
        <v>6.3465622324671766E-3</v>
      </c>
      <c r="Z9" s="92">
        <f t="shared" si="7"/>
        <v>8320037.6694485489</v>
      </c>
      <c r="AA9" s="92">
        <f t="shared" si="8"/>
        <v>4012445.1425556364</v>
      </c>
      <c r="AB9" s="92">
        <f t="shared" si="9"/>
        <v>4522353.1067639394</v>
      </c>
      <c r="AC9" s="92">
        <f t="shared" si="19"/>
        <v>16854835.918768127</v>
      </c>
      <c r="AD9" s="211">
        <f t="shared" si="20"/>
        <v>5.9134184434035562E-3</v>
      </c>
      <c r="AF9" s="81"/>
    </row>
    <row r="10" spans="1:32">
      <c r="A10" s="85">
        <v>14</v>
      </c>
      <c r="B10" s="95" t="s">
        <v>133</v>
      </c>
      <c r="C10" s="170">
        <v>14024468</v>
      </c>
      <c r="D10" s="170">
        <v>4355721.2300000004</v>
      </c>
      <c r="E10" s="171">
        <f t="shared" si="0"/>
        <v>0.31058013965306924</v>
      </c>
      <c r="F10" s="170">
        <f t="shared" si="10"/>
        <v>1352800.5079032388</v>
      </c>
      <c r="G10" s="199">
        <f t="shared" si="1"/>
        <v>6.0148238550913012E-4</v>
      </c>
      <c r="H10" s="108">
        <v>18030</v>
      </c>
      <c r="I10" s="172">
        <f t="shared" si="2"/>
        <v>3.1169817244256232E-3</v>
      </c>
      <c r="J10" s="173">
        <f t="shared" si="11"/>
        <v>2.6494344657617798E-3</v>
      </c>
      <c r="K10" s="170">
        <v>4539.2</v>
      </c>
      <c r="L10" s="174">
        <f t="shared" si="3"/>
        <v>7.0752099556708276E-2</v>
      </c>
      <c r="M10" s="173">
        <f t="shared" si="12"/>
        <v>1.0612814933506241E-2</v>
      </c>
      <c r="N10" s="199">
        <f t="shared" si="13"/>
        <v>1.3262249399268022E-2</v>
      </c>
      <c r="O10" s="175">
        <v>7349</v>
      </c>
      <c r="P10" s="175">
        <v>5491</v>
      </c>
      <c r="Q10" s="176">
        <v>1.7933312159000001</v>
      </c>
      <c r="R10" s="177">
        <f t="shared" si="14"/>
        <v>5.1052332592326066E-3</v>
      </c>
      <c r="S10" s="178">
        <f t="shared" si="4"/>
        <v>9.1553741682327307E-3</v>
      </c>
      <c r="T10" s="178">
        <f t="shared" si="15"/>
        <v>4.7485028752136602E-3</v>
      </c>
      <c r="U10" s="176">
        <f t="shared" si="16"/>
        <v>4.036227443931611E-3</v>
      </c>
      <c r="V10" s="177">
        <f t="shared" si="5"/>
        <v>1.3383718812602441</v>
      </c>
      <c r="W10" s="177">
        <f t="shared" si="17"/>
        <v>1.7784622325559021E-2</v>
      </c>
      <c r="X10" s="176">
        <f t="shared" si="18"/>
        <v>2.6676933488338529E-3</v>
      </c>
      <c r="Y10" s="171">
        <f t="shared" si="6"/>
        <v>6.7039207927654639E-3</v>
      </c>
      <c r="Z10" s="92">
        <f t="shared" si="7"/>
        <v>857193.43327500194</v>
      </c>
      <c r="AA10" s="92">
        <f t="shared" si="8"/>
        <v>9450246.0665453058</v>
      </c>
      <c r="AB10" s="92">
        <f t="shared" si="9"/>
        <v>4776995.1533078365</v>
      </c>
      <c r="AC10" s="92">
        <f t="shared" si="19"/>
        <v>15084434.653128143</v>
      </c>
      <c r="AD10" s="211">
        <f t="shared" si="20"/>
        <v>5.2922837407629363E-3</v>
      </c>
      <c r="AF10" s="81"/>
    </row>
    <row r="11" spans="1:32">
      <c r="A11" s="85">
        <v>17</v>
      </c>
      <c r="B11" s="95" t="s">
        <v>4</v>
      </c>
      <c r="C11" s="170">
        <v>702944080</v>
      </c>
      <c r="D11" s="170">
        <v>362556595.76999998</v>
      </c>
      <c r="E11" s="171">
        <f t="shared" si="0"/>
        <v>0.515768758974398</v>
      </c>
      <c r="F11" s="170">
        <f t="shared" si="10"/>
        <v>186995365.45827538</v>
      </c>
      <c r="G11" s="199">
        <f t="shared" si="1"/>
        <v>8.3141910309690675E-2</v>
      </c>
      <c r="H11" s="108">
        <v>656464</v>
      </c>
      <c r="I11" s="172">
        <f t="shared" si="2"/>
        <v>0.11348786970290306</v>
      </c>
      <c r="J11" s="173">
        <f t="shared" si="11"/>
        <v>9.6464689247467594E-2</v>
      </c>
      <c r="K11" s="170">
        <v>224</v>
      </c>
      <c r="L11" s="174">
        <f t="shared" si="3"/>
        <v>3.4914677257452094E-3</v>
      </c>
      <c r="M11" s="173">
        <f t="shared" si="12"/>
        <v>5.2372015886178135E-4</v>
      </c>
      <c r="N11" s="199">
        <f t="shared" si="13"/>
        <v>9.6988409406329371E-2</v>
      </c>
      <c r="O11" s="175">
        <v>77936</v>
      </c>
      <c r="P11" s="175">
        <v>87455</v>
      </c>
      <c r="Q11" s="176">
        <v>1.8323297204</v>
      </c>
      <c r="R11" s="177">
        <f t="shared" si="14"/>
        <v>8.1310904149733673E-2</v>
      </c>
      <c r="S11" s="178">
        <f t="shared" si="4"/>
        <v>0.14898838626615271</v>
      </c>
      <c r="T11" s="178">
        <f t="shared" si="15"/>
        <v>7.7273934146028844E-2</v>
      </c>
      <c r="U11" s="176">
        <f t="shared" si="16"/>
        <v>6.5682844024124512E-2</v>
      </c>
      <c r="V11" s="177">
        <f t="shared" si="5"/>
        <v>0.89115545137499286</v>
      </c>
      <c r="W11" s="177">
        <f t="shared" si="17"/>
        <v>1.1841897874560577E-2</v>
      </c>
      <c r="X11" s="176">
        <f t="shared" si="18"/>
        <v>1.7762846811840865E-3</v>
      </c>
      <c r="Y11" s="171">
        <f t="shared" si="6"/>
        <v>6.7459128705308596E-2</v>
      </c>
      <c r="Z11" s="92">
        <f t="shared" si="7"/>
        <v>118488423.37598965</v>
      </c>
      <c r="AA11" s="92">
        <f t="shared" si="8"/>
        <v>69110775.020053342</v>
      </c>
      <c r="AB11" s="92">
        <f t="shared" si="9"/>
        <v>48069173.373794466</v>
      </c>
      <c r="AC11" s="92">
        <f t="shared" si="19"/>
        <v>235668371.76983747</v>
      </c>
      <c r="AD11" s="211">
        <f t="shared" si="20"/>
        <v>8.2682839682754833E-2</v>
      </c>
      <c r="AF11" s="81"/>
    </row>
    <row r="12" spans="1:32">
      <c r="A12" s="85">
        <v>16</v>
      </c>
      <c r="B12" s="95" t="s">
        <v>5</v>
      </c>
      <c r="C12" s="170">
        <v>1993931</v>
      </c>
      <c r="D12" s="170">
        <v>399351</v>
      </c>
      <c r="E12" s="171">
        <f t="shared" si="0"/>
        <v>0.20028325955110785</v>
      </c>
      <c r="F12" s="170">
        <f t="shared" si="10"/>
        <v>79983.319984994465</v>
      </c>
      <c r="G12" s="199">
        <f t="shared" si="1"/>
        <v>3.556219695694821E-5</v>
      </c>
      <c r="H12" s="108">
        <v>14992</v>
      </c>
      <c r="I12" s="172">
        <f t="shared" si="2"/>
        <v>2.5917798121236242E-3</v>
      </c>
      <c r="J12" s="173">
        <f t="shared" si="11"/>
        <v>2.2030128403050806E-3</v>
      </c>
      <c r="K12" s="170">
        <v>2688.6</v>
      </c>
      <c r="L12" s="174">
        <f t="shared" si="3"/>
        <v>4.1906964854636471E-2</v>
      </c>
      <c r="M12" s="173">
        <f t="shared" si="12"/>
        <v>6.2860447281954702E-3</v>
      </c>
      <c r="N12" s="199">
        <f t="shared" si="13"/>
        <v>8.48905756850055E-3</v>
      </c>
      <c r="O12" s="175">
        <v>10274</v>
      </c>
      <c r="P12" s="175">
        <v>7471</v>
      </c>
      <c r="Q12" s="176">
        <v>2.3084826450000002</v>
      </c>
      <c r="R12" s="177">
        <f t="shared" si="14"/>
        <v>6.9461296084004373E-3</v>
      </c>
      <c r="S12" s="178">
        <f t="shared" si="4"/>
        <v>1.6035019650913057E-2</v>
      </c>
      <c r="T12" s="178">
        <f t="shared" si="15"/>
        <v>8.3166821494490614E-3</v>
      </c>
      <c r="U12" s="176">
        <f t="shared" si="16"/>
        <v>7.0691798270317019E-3</v>
      </c>
      <c r="V12" s="177">
        <f t="shared" si="5"/>
        <v>1.375184044973899</v>
      </c>
      <c r="W12" s="177">
        <f t="shared" si="17"/>
        <v>1.8273791619834338E-2</v>
      </c>
      <c r="X12" s="176">
        <f t="shared" si="18"/>
        <v>2.7410687429751507E-3</v>
      </c>
      <c r="Y12" s="171">
        <f t="shared" si="6"/>
        <v>9.8102485700068531E-3</v>
      </c>
      <c r="Z12" s="92">
        <f t="shared" si="7"/>
        <v>50680.921733934199</v>
      </c>
      <c r="AA12" s="92">
        <f t="shared" si="8"/>
        <v>6049025.3561229762</v>
      </c>
      <c r="AB12" s="92">
        <f t="shared" si="9"/>
        <v>6990462.9425575295</v>
      </c>
      <c r="AC12" s="92">
        <f t="shared" si="19"/>
        <v>13090169.220414441</v>
      </c>
      <c r="AD12" s="211">
        <f t="shared" si="20"/>
        <v>4.5926076331053254E-3</v>
      </c>
      <c r="AF12" s="81"/>
    </row>
    <row r="13" spans="1:32">
      <c r="A13" s="85">
        <v>18</v>
      </c>
      <c r="B13" s="95" t="s">
        <v>6</v>
      </c>
      <c r="C13" s="170">
        <v>2066645</v>
      </c>
      <c r="D13" s="170">
        <v>3811210</v>
      </c>
      <c r="E13" s="171">
        <f t="shared" si="0"/>
        <v>1.8441532048319862</v>
      </c>
      <c r="F13" s="170">
        <f t="shared" si="10"/>
        <v>7028455.1357877143</v>
      </c>
      <c r="G13" s="199">
        <f t="shared" si="1"/>
        <v>3.1249928846270583E-3</v>
      </c>
      <c r="H13" s="108">
        <v>3661</v>
      </c>
      <c r="I13" s="172">
        <f t="shared" si="2"/>
        <v>6.329046086035611E-4</v>
      </c>
      <c r="J13" s="173">
        <f t="shared" si="11"/>
        <v>5.3796891731302697E-4</v>
      </c>
      <c r="K13" s="170">
        <v>466.7</v>
      </c>
      <c r="L13" s="174">
        <f t="shared" si="3"/>
        <v>7.2744106589521839E-3</v>
      </c>
      <c r="M13" s="173">
        <f t="shared" si="12"/>
        <v>1.0911615988428275E-3</v>
      </c>
      <c r="N13" s="199">
        <f t="shared" si="13"/>
        <v>1.6291305161558545E-3</v>
      </c>
      <c r="O13" s="175">
        <v>1472</v>
      </c>
      <c r="P13" s="175">
        <v>1100</v>
      </c>
      <c r="Q13" s="176">
        <v>1.4822637890000001</v>
      </c>
      <c r="R13" s="177">
        <f t="shared" si="14"/>
        <v>1.0227201939821285E-3</v>
      </c>
      <c r="S13" s="178">
        <f t="shared" si="4"/>
        <v>1.515941109818765E-3</v>
      </c>
      <c r="T13" s="178">
        <f t="shared" si="15"/>
        <v>7.8625412641311154E-4</v>
      </c>
      <c r="U13" s="176">
        <f t="shared" si="16"/>
        <v>6.6831600745114481E-4</v>
      </c>
      <c r="V13" s="177">
        <f t="shared" si="5"/>
        <v>1.3381818181818181</v>
      </c>
      <c r="W13" s="177">
        <f t="shared" si="17"/>
        <v>1.7782096719548338E-2</v>
      </c>
      <c r="X13" s="176">
        <f t="shared" si="18"/>
        <v>2.6673145079322506E-3</v>
      </c>
      <c r="Y13" s="171">
        <f t="shared" si="6"/>
        <v>3.3356305153833953E-3</v>
      </c>
      <c r="Z13" s="92">
        <f t="shared" si="7"/>
        <v>4453535.8711560452</v>
      </c>
      <c r="AA13" s="92">
        <f t="shared" si="8"/>
        <v>1160865.2339957138</v>
      </c>
      <c r="AB13" s="92">
        <f t="shared" si="9"/>
        <v>2376861.4364310047</v>
      </c>
      <c r="AC13" s="92">
        <f t="shared" si="19"/>
        <v>7991262.5415827641</v>
      </c>
      <c r="AD13" s="211">
        <f t="shared" si="20"/>
        <v>2.8036867001983417E-3</v>
      </c>
      <c r="AF13" s="81"/>
    </row>
    <row r="14" spans="1:32">
      <c r="A14" s="85">
        <v>19</v>
      </c>
      <c r="B14" s="95" t="s">
        <v>117</v>
      </c>
      <c r="C14" s="170">
        <v>111747628</v>
      </c>
      <c r="D14" s="170">
        <v>36158711.829999998</v>
      </c>
      <c r="E14" s="171">
        <f t="shared" si="0"/>
        <v>0.32357475927811191</v>
      </c>
      <c r="F14" s="170">
        <f t="shared" si="10"/>
        <v>11700046.476198867</v>
      </c>
      <c r="G14" s="199">
        <f t="shared" si="1"/>
        <v>5.2020765988470092E-3</v>
      </c>
      <c r="H14" s="108">
        <v>122337</v>
      </c>
      <c r="I14" s="172">
        <f t="shared" si="2"/>
        <v>2.1149317427679282E-2</v>
      </c>
      <c r="J14" s="173">
        <f t="shared" si="11"/>
        <v>1.7976919813527389E-2</v>
      </c>
      <c r="K14" s="170">
        <v>1140.9000000000001</v>
      </c>
      <c r="L14" s="174">
        <f t="shared" si="3"/>
        <v>1.7783105037065667E-2</v>
      </c>
      <c r="M14" s="173">
        <f t="shared" si="12"/>
        <v>2.6674657555598499E-3</v>
      </c>
      <c r="N14" s="199">
        <f t="shared" si="13"/>
        <v>2.0644385569087237E-2</v>
      </c>
      <c r="O14" s="175">
        <v>26523</v>
      </c>
      <c r="P14" s="175">
        <v>24758</v>
      </c>
      <c r="Q14" s="176">
        <v>1.8739893594999999</v>
      </c>
      <c r="R14" s="177">
        <f t="shared" si="14"/>
        <v>2.3018642329645032E-2</v>
      </c>
      <c r="S14" s="178">
        <f t="shared" si="4"/>
        <v>4.3136690795891081E-2</v>
      </c>
      <c r="T14" s="178">
        <f t="shared" si="15"/>
        <v>2.2373165367967789E-2</v>
      </c>
      <c r="U14" s="176">
        <f t="shared" si="16"/>
        <v>1.901719056277262E-2</v>
      </c>
      <c r="V14" s="177">
        <f t="shared" si="5"/>
        <v>1.0712900880523468</v>
      </c>
      <c r="W14" s="177">
        <f t="shared" si="17"/>
        <v>1.4235572253046412E-2</v>
      </c>
      <c r="X14" s="176">
        <f t="shared" si="18"/>
        <v>2.1353358379569616E-3</v>
      </c>
      <c r="Y14" s="171">
        <f t="shared" si="6"/>
        <v>2.1152526400729583E-2</v>
      </c>
      <c r="Z14" s="92">
        <f t="shared" si="7"/>
        <v>7413659.9962951457</v>
      </c>
      <c r="AA14" s="92">
        <f t="shared" si="8"/>
        <v>14710515.361841943</v>
      </c>
      <c r="AB14" s="92">
        <f t="shared" si="9"/>
        <v>15072599.933690229</v>
      </c>
      <c r="AC14" s="92">
        <f t="shared" si="19"/>
        <v>37196775.291827321</v>
      </c>
      <c r="AD14" s="211">
        <f t="shared" si="20"/>
        <v>1.3050266291877711E-2</v>
      </c>
      <c r="AF14" s="81"/>
    </row>
    <row r="15" spans="1:32">
      <c r="A15" s="85">
        <v>20</v>
      </c>
      <c r="B15" s="95" t="s">
        <v>118</v>
      </c>
      <c r="C15" s="170">
        <v>80970365</v>
      </c>
      <c r="D15" s="170">
        <v>22829265</v>
      </c>
      <c r="E15" s="171">
        <f t="shared" si="0"/>
        <v>0.28194593169982624</v>
      </c>
      <c r="F15" s="170">
        <f t="shared" si="10"/>
        <v>6436618.3904472338</v>
      </c>
      <c r="G15" s="199">
        <f t="shared" si="1"/>
        <v>2.8618503330537304E-3</v>
      </c>
      <c r="H15" s="108">
        <v>104478</v>
      </c>
      <c r="I15" s="172">
        <f t="shared" si="2"/>
        <v>1.8061897759541888E-2</v>
      </c>
      <c r="J15" s="173">
        <f t="shared" si="11"/>
        <v>1.5352613095610604E-2</v>
      </c>
      <c r="K15" s="170">
        <v>104.3</v>
      </c>
      <c r="L15" s="174">
        <f t="shared" si="3"/>
        <v>1.6257146598001131E-3</v>
      </c>
      <c r="M15" s="173">
        <f t="shared" si="12"/>
        <v>2.4385719897001694E-4</v>
      </c>
      <c r="N15" s="199">
        <f t="shared" si="13"/>
        <v>1.5596470294580621E-2</v>
      </c>
      <c r="O15" s="175">
        <v>8234</v>
      </c>
      <c r="P15" s="175">
        <v>27842</v>
      </c>
      <c r="Q15" s="176">
        <v>1.8343045897000001</v>
      </c>
      <c r="R15" s="177">
        <f t="shared" si="14"/>
        <v>2.5885977855318563E-2</v>
      </c>
      <c r="S15" s="178">
        <f t="shared" si="4"/>
        <v>4.7482767988883408E-2</v>
      </c>
      <c r="T15" s="178">
        <f t="shared" si="15"/>
        <v>2.4627290613709465E-2</v>
      </c>
      <c r="U15" s="176">
        <f t="shared" si="16"/>
        <v>2.0933197021653045E-2</v>
      </c>
      <c r="V15" s="177">
        <f t="shared" si="5"/>
        <v>0.29574024854536313</v>
      </c>
      <c r="W15" s="177">
        <f t="shared" si="17"/>
        <v>3.9298708382110078E-3</v>
      </c>
      <c r="X15" s="176">
        <f t="shared" si="18"/>
        <v>5.8948062573165115E-4</v>
      </c>
      <c r="Y15" s="171">
        <f t="shared" si="6"/>
        <v>2.1522677647384695E-2</v>
      </c>
      <c r="Z15" s="92">
        <f t="shared" si="7"/>
        <v>4078522.2836293639</v>
      </c>
      <c r="AA15" s="92">
        <f t="shared" si="8"/>
        <v>11113535.691877887</v>
      </c>
      <c r="AB15" s="92">
        <f t="shared" si="9"/>
        <v>15336357.631002298</v>
      </c>
      <c r="AC15" s="92">
        <f t="shared" si="19"/>
        <v>30528415.606509548</v>
      </c>
      <c r="AD15" s="211">
        <f t="shared" si="20"/>
        <v>1.0710712152018194E-2</v>
      </c>
      <c r="AF15" s="81"/>
    </row>
    <row r="16" spans="1:32">
      <c r="A16" s="85">
        <v>23</v>
      </c>
      <c r="B16" s="95" t="s">
        <v>119</v>
      </c>
      <c r="C16" s="170">
        <v>4477786</v>
      </c>
      <c r="D16" s="170">
        <v>1404732</v>
      </c>
      <c r="E16" s="171">
        <f t="shared" si="0"/>
        <v>0.31371128499664791</v>
      </c>
      <c r="F16" s="170">
        <f t="shared" si="10"/>
        <v>440680.28079591121</v>
      </c>
      <c r="G16" s="199">
        <f t="shared" si="1"/>
        <v>1.9593533931384135E-4</v>
      </c>
      <c r="H16" s="108">
        <v>7340</v>
      </c>
      <c r="I16" s="172">
        <f t="shared" si="2"/>
        <v>1.2689210126058832E-3</v>
      </c>
      <c r="J16" s="173">
        <f t="shared" si="11"/>
        <v>1.0785828607150008E-3</v>
      </c>
      <c r="K16" s="170">
        <v>1007.4</v>
      </c>
      <c r="L16" s="174">
        <f t="shared" si="3"/>
        <v>1.5702252620159483E-2</v>
      </c>
      <c r="M16" s="173">
        <f t="shared" si="12"/>
        <v>2.3553378930239225E-3</v>
      </c>
      <c r="N16" s="199">
        <f t="shared" si="13"/>
        <v>3.4339207537389233E-3</v>
      </c>
      <c r="O16" s="175">
        <v>3737</v>
      </c>
      <c r="P16" s="175">
        <v>763</v>
      </c>
      <c r="Q16" s="176">
        <v>1.7930753231000001</v>
      </c>
      <c r="R16" s="177">
        <f t="shared" si="14"/>
        <v>7.0939591637123999E-4</v>
      </c>
      <c r="S16" s="178">
        <f t="shared" si="4"/>
        <v>1.2720003119531817E-3</v>
      </c>
      <c r="T16" s="178">
        <f t="shared" si="15"/>
        <v>6.5973241809605702E-4</v>
      </c>
      <c r="U16" s="176">
        <f t="shared" si="16"/>
        <v>5.607725553816484E-4</v>
      </c>
      <c r="V16" s="177">
        <f t="shared" si="5"/>
        <v>4.8977719528178243</v>
      </c>
      <c r="W16" s="177">
        <f t="shared" si="17"/>
        <v>6.5082826109257794E-2</v>
      </c>
      <c r="X16" s="176">
        <f t="shared" si="18"/>
        <v>9.762423916388669E-3</v>
      </c>
      <c r="Y16" s="171">
        <f t="shared" si="6"/>
        <v>1.0323196471770317E-2</v>
      </c>
      <c r="Z16" s="92">
        <f t="shared" si="7"/>
        <v>279234.25565350108</v>
      </c>
      <c r="AA16" s="92">
        <f t="shared" si="8"/>
        <v>2446899.8522709599</v>
      </c>
      <c r="AB16" s="92">
        <f t="shared" si="9"/>
        <v>7355972.8756802166</v>
      </c>
      <c r="AC16" s="92">
        <f t="shared" si="19"/>
        <v>10082106.983604677</v>
      </c>
      <c r="AD16" s="211">
        <f t="shared" si="20"/>
        <v>3.5372469760342308E-3</v>
      </c>
      <c r="AF16" s="81"/>
    </row>
    <row r="17" spans="1:32">
      <c r="A17" s="85">
        <v>21</v>
      </c>
      <c r="B17" s="95" t="s">
        <v>7</v>
      </c>
      <c r="C17" s="170">
        <v>5828675</v>
      </c>
      <c r="D17" s="170">
        <v>1919119.6800000002</v>
      </c>
      <c r="E17" s="171">
        <f t="shared" si="0"/>
        <v>0.32925487868169012</v>
      </c>
      <c r="F17" s="170">
        <f t="shared" si="10"/>
        <v>631879.51741404401</v>
      </c>
      <c r="G17" s="199">
        <f t="shared" si="1"/>
        <v>2.8094637551373677E-4</v>
      </c>
      <c r="H17" s="108">
        <v>9930</v>
      </c>
      <c r="I17" s="172">
        <f t="shared" si="2"/>
        <v>1.7166737949831634E-3</v>
      </c>
      <c r="J17" s="173">
        <f t="shared" si="11"/>
        <v>1.4591727257356889E-3</v>
      </c>
      <c r="K17" s="170">
        <v>4265.7</v>
      </c>
      <c r="L17" s="174">
        <f t="shared" si="3"/>
        <v>6.6489079811211327E-2</v>
      </c>
      <c r="M17" s="173">
        <f t="shared" si="12"/>
        <v>9.9733619716816987E-3</v>
      </c>
      <c r="N17" s="199">
        <f t="shared" si="13"/>
        <v>1.1432534697417387E-2</v>
      </c>
      <c r="O17" s="175">
        <v>4127</v>
      </c>
      <c r="P17" s="175">
        <v>1614</v>
      </c>
      <c r="Q17" s="176">
        <v>1.7681716602999999</v>
      </c>
      <c r="R17" s="177">
        <f t="shared" si="14"/>
        <v>1.5006094482610502E-3</v>
      </c>
      <c r="S17" s="178">
        <f t="shared" si="4"/>
        <v>2.6533350995936078E-3</v>
      </c>
      <c r="T17" s="178">
        <f t="shared" si="15"/>
        <v>1.3761719748213892E-3</v>
      </c>
      <c r="U17" s="176">
        <f t="shared" si="16"/>
        <v>1.1697461785981809E-3</v>
      </c>
      <c r="V17" s="177">
        <f t="shared" si="5"/>
        <v>2.5570012391573731</v>
      </c>
      <c r="W17" s="177">
        <f t="shared" si="17"/>
        <v>3.3978075870496942E-2</v>
      </c>
      <c r="X17" s="176">
        <f t="shared" si="18"/>
        <v>5.0967113805745409E-3</v>
      </c>
      <c r="Y17" s="171">
        <f t="shared" si="6"/>
        <v>6.2664575591727216E-3</v>
      </c>
      <c r="Z17" s="92">
        <f t="shared" si="7"/>
        <v>400386.4352385634</v>
      </c>
      <c r="AA17" s="92">
        <f t="shared" si="8"/>
        <v>8146451.0885215597</v>
      </c>
      <c r="AB17" s="92">
        <f t="shared" si="9"/>
        <v>4465273.1310431836</v>
      </c>
      <c r="AC17" s="92">
        <f t="shared" si="19"/>
        <v>13012110.654803306</v>
      </c>
      <c r="AD17" s="211">
        <f t="shared" si="20"/>
        <v>4.5652212519043953E-3</v>
      </c>
      <c r="AF17" s="81"/>
    </row>
    <row r="18" spans="1:32">
      <c r="A18" s="85">
        <v>22</v>
      </c>
      <c r="B18" s="95" t="s">
        <v>120</v>
      </c>
      <c r="C18" s="170">
        <v>80074721</v>
      </c>
      <c r="D18" s="170">
        <v>29478212.100000001</v>
      </c>
      <c r="E18" s="171">
        <f t="shared" si="0"/>
        <v>0.36813380967009551</v>
      </c>
      <c r="F18" s="170">
        <f t="shared" si="10"/>
        <v>10851926.522636106</v>
      </c>
      <c r="G18" s="199">
        <f t="shared" si="1"/>
        <v>4.8249853648575326E-3</v>
      </c>
      <c r="H18" s="108">
        <v>68747</v>
      </c>
      <c r="I18" s="172">
        <f t="shared" si="2"/>
        <v>1.1884811015479108E-2</v>
      </c>
      <c r="J18" s="173">
        <f t="shared" si="11"/>
        <v>1.0102089363157242E-2</v>
      </c>
      <c r="K18" s="170">
        <v>138.69999999999999</v>
      </c>
      <c r="L18" s="174">
        <f t="shared" si="3"/>
        <v>2.1619043462538417E-3</v>
      </c>
      <c r="M18" s="173">
        <f t="shared" si="12"/>
        <v>3.2428565193807623E-4</v>
      </c>
      <c r="N18" s="199">
        <f t="shared" si="13"/>
        <v>1.0426375015095319E-2</v>
      </c>
      <c r="O18" s="175">
        <v>10747</v>
      </c>
      <c r="P18" s="175">
        <v>15877</v>
      </c>
      <c r="Q18" s="176">
        <v>1.8900298334000001</v>
      </c>
      <c r="R18" s="177">
        <f t="shared" si="14"/>
        <v>1.4761571381685684E-2</v>
      </c>
      <c r="S18" s="178">
        <f t="shared" si="4"/>
        <v>2.7899810299249601E-2</v>
      </c>
      <c r="T18" s="178">
        <f t="shared" si="15"/>
        <v>1.4470444024405789E-2</v>
      </c>
      <c r="U18" s="176">
        <f t="shared" si="16"/>
        <v>1.2299877420744921E-2</v>
      </c>
      <c r="V18" s="177">
        <f t="shared" si="5"/>
        <v>0.67689110033381616</v>
      </c>
      <c r="W18" s="177">
        <f t="shared" si="17"/>
        <v>8.9946992637304091E-3</v>
      </c>
      <c r="X18" s="176">
        <f t="shared" si="18"/>
        <v>1.3492048895595613E-3</v>
      </c>
      <c r="Y18" s="171">
        <f t="shared" si="6"/>
        <v>1.3649082310304482E-2</v>
      </c>
      <c r="Z18" s="92">
        <f t="shared" si="7"/>
        <v>6876254.1847388567</v>
      </c>
      <c r="AA18" s="92">
        <f t="shared" si="8"/>
        <v>7429494.538096155</v>
      </c>
      <c r="AB18" s="92">
        <f t="shared" si="9"/>
        <v>9725890.5734367482</v>
      </c>
      <c r="AC18" s="92">
        <f t="shared" si="19"/>
        <v>24031639.29627176</v>
      </c>
      <c r="AD18" s="211">
        <f t="shared" si="20"/>
        <v>8.4313570137787164E-3</v>
      </c>
      <c r="AF18" s="81"/>
    </row>
    <row r="19" spans="1:32">
      <c r="A19" s="85">
        <v>25</v>
      </c>
      <c r="B19" s="95" t="s">
        <v>8</v>
      </c>
      <c r="C19" s="170">
        <v>7641267</v>
      </c>
      <c r="D19" s="170">
        <v>869327</v>
      </c>
      <c r="E19" s="171">
        <f t="shared" si="0"/>
        <v>0.11376738962268954</v>
      </c>
      <c r="F19" s="170">
        <f t="shared" si="10"/>
        <v>98901.063518523821</v>
      </c>
      <c r="G19" s="199">
        <f t="shared" si="1"/>
        <v>4.3973407214869728E-5</v>
      </c>
      <c r="H19" s="108">
        <v>36088</v>
      </c>
      <c r="I19" s="172">
        <f t="shared" si="2"/>
        <v>6.2388040194715413E-3</v>
      </c>
      <c r="J19" s="173">
        <f t="shared" si="11"/>
        <v>5.3029834165508102E-3</v>
      </c>
      <c r="K19" s="170">
        <v>5053.7</v>
      </c>
      <c r="L19" s="174">
        <f t="shared" si="3"/>
        <v>7.87715644892793E-2</v>
      </c>
      <c r="M19" s="173">
        <f t="shared" si="12"/>
        <v>1.1815734673391894E-2</v>
      </c>
      <c r="N19" s="199">
        <f t="shared" si="13"/>
        <v>1.7118718089942704E-2</v>
      </c>
      <c r="O19" s="175">
        <v>25568</v>
      </c>
      <c r="P19" s="175">
        <v>20948</v>
      </c>
      <c r="Q19" s="176">
        <v>2.5216163224999999</v>
      </c>
      <c r="R19" s="177">
        <f t="shared" si="14"/>
        <v>1.9476311475943298E-2</v>
      </c>
      <c r="S19" s="178">
        <f t="shared" si="4"/>
        <v>4.9111784919832688E-2</v>
      </c>
      <c r="T19" s="178">
        <f t="shared" si="15"/>
        <v>2.5472192355379904E-2</v>
      </c>
      <c r="U19" s="176">
        <f t="shared" si="16"/>
        <v>2.1651363502072918E-2</v>
      </c>
      <c r="V19" s="177">
        <f t="shared" si="5"/>
        <v>1.220546114187512</v>
      </c>
      <c r="W19" s="177">
        <f t="shared" si="17"/>
        <v>1.6218923884827686E-2</v>
      </c>
      <c r="X19" s="176">
        <f t="shared" si="18"/>
        <v>2.4328385827241529E-3</v>
      </c>
      <c r="Y19" s="171">
        <f t="shared" si="6"/>
        <v>2.4084202084797071E-2</v>
      </c>
      <c r="Z19" s="92">
        <f t="shared" si="7"/>
        <v>62668.029540728348</v>
      </c>
      <c r="AA19" s="92">
        <f t="shared" si="8"/>
        <v>12198239.78749094</v>
      </c>
      <c r="AB19" s="92">
        <f t="shared" si="9"/>
        <v>17161616.341666572</v>
      </c>
      <c r="AC19" s="92">
        <f t="shared" si="19"/>
        <v>29422524.158698238</v>
      </c>
      <c r="AD19" s="211">
        <f t="shared" si="20"/>
        <v>1.0322716747292378E-2</v>
      </c>
      <c r="AF19" s="81"/>
    </row>
    <row r="20" spans="1:32">
      <c r="A20" s="85">
        <v>27</v>
      </c>
      <c r="B20" s="95" t="s">
        <v>9</v>
      </c>
      <c r="C20" s="170">
        <v>1765844</v>
      </c>
      <c r="D20" s="170">
        <v>260498</v>
      </c>
      <c r="E20" s="171">
        <f t="shared" si="0"/>
        <v>0.14752039251485408</v>
      </c>
      <c r="F20" s="170">
        <f t="shared" si="10"/>
        <v>38428.767209334459</v>
      </c>
      <c r="G20" s="199">
        <f t="shared" si="1"/>
        <v>1.7086204830800381E-5</v>
      </c>
      <c r="H20" s="108">
        <v>1360</v>
      </c>
      <c r="I20" s="172">
        <f t="shared" si="2"/>
        <v>2.351134301286105E-4</v>
      </c>
      <c r="J20" s="173">
        <f t="shared" si="11"/>
        <v>1.9984641560931893E-4</v>
      </c>
      <c r="K20" s="170">
        <v>720.7</v>
      </c>
      <c r="L20" s="174">
        <f t="shared" si="3"/>
        <v>1.1233485669395412E-2</v>
      </c>
      <c r="M20" s="173">
        <f t="shared" si="12"/>
        <v>1.6850228504093118E-3</v>
      </c>
      <c r="N20" s="199">
        <f t="shared" si="13"/>
        <v>1.8848692660186307E-3</v>
      </c>
      <c r="O20" s="175">
        <v>347</v>
      </c>
      <c r="P20" s="175">
        <v>179</v>
      </c>
      <c r="Q20" s="176">
        <v>1.9685182910000001</v>
      </c>
      <c r="R20" s="177">
        <f t="shared" si="14"/>
        <v>1.6642446792981908E-4</v>
      </c>
      <c r="S20" s="178">
        <f t="shared" si="4"/>
        <v>3.2760960918979179E-4</v>
      </c>
      <c r="T20" s="178">
        <f t="shared" si="15"/>
        <v>1.699171593208232E-4</v>
      </c>
      <c r="U20" s="176">
        <f t="shared" si="16"/>
        <v>1.4442958542269972E-4</v>
      </c>
      <c r="V20" s="177">
        <f t="shared" si="5"/>
        <v>1.9385474860335195</v>
      </c>
      <c r="W20" s="177">
        <f t="shared" si="17"/>
        <v>2.5759906780770288E-2</v>
      </c>
      <c r="X20" s="176">
        <f t="shared" si="18"/>
        <v>3.8639860171155432E-3</v>
      </c>
      <c r="Y20" s="171">
        <f t="shared" si="6"/>
        <v>4.0084156025382428E-3</v>
      </c>
      <c r="Z20" s="92">
        <f t="shared" si="7"/>
        <v>24350.143800397927</v>
      </c>
      <c r="AA20" s="92">
        <f t="shared" si="8"/>
        <v>1343096.3203065551</v>
      </c>
      <c r="AB20" s="92">
        <f t="shared" si="9"/>
        <v>2856266.1310724998</v>
      </c>
      <c r="AC20" s="92">
        <f t="shared" si="19"/>
        <v>4223712.5951794526</v>
      </c>
      <c r="AD20" s="211">
        <f t="shared" si="20"/>
        <v>1.4818643195546185E-3</v>
      </c>
      <c r="AF20" s="81"/>
    </row>
    <row r="21" spans="1:32">
      <c r="A21" s="85">
        <v>26</v>
      </c>
      <c r="B21" s="95" t="s">
        <v>121</v>
      </c>
      <c r="C21" s="170">
        <v>2266762</v>
      </c>
      <c r="D21" s="170">
        <v>814501</v>
      </c>
      <c r="E21" s="171">
        <f t="shared" si="0"/>
        <v>0.35932356374423075</v>
      </c>
      <c r="F21" s="170">
        <f t="shared" si="10"/>
        <v>292669.40199323971</v>
      </c>
      <c r="G21" s="199">
        <f t="shared" si="1"/>
        <v>1.3012671790703942E-4</v>
      </c>
      <c r="H21" s="108">
        <v>3256</v>
      </c>
      <c r="I21" s="172">
        <f t="shared" si="2"/>
        <v>5.6288921213143808E-4</v>
      </c>
      <c r="J21" s="173">
        <f t="shared" si="11"/>
        <v>4.7845583031172234E-4</v>
      </c>
      <c r="K21" s="170">
        <v>614.70000000000005</v>
      </c>
      <c r="L21" s="174">
        <f t="shared" si="3"/>
        <v>9.5812732634624129E-3</v>
      </c>
      <c r="M21" s="173">
        <f t="shared" si="12"/>
        <v>1.4371909895193619E-3</v>
      </c>
      <c r="N21" s="199">
        <f t="shared" si="13"/>
        <v>1.9156468198310843E-3</v>
      </c>
      <c r="O21" s="175">
        <v>355</v>
      </c>
      <c r="P21" s="175">
        <v>468</v>
      </c>
      <c r="Q21" s="176">
        <v>1.9393994637</v>
      </c>
      <c r="R21" s="177">
        <f t="shared" si="14"/>
        <v>4.3512095525785101E-4</v>
      </c>
      <c r="S21" s="178">
        <f t="shared" si="4"/>
        <v>8.43873347271708E-4</v>
      </c>
      <c r="T21" s="178">
        <f t="shared" si="15"/>
        <v>4.3768118508360012E-4</v>
      </c>
      <c r="U21" s="176">
        <f t="shared" si="16"/>
        <v>3.7202900732106011E-4</v>
      </c>
      <c r="V21" s="177">
        <f t="shared" si="5"/>
        <v>0.75854700854700852</v>
      </c>
      <c r="W21" s="177">
        <f t="shared" si="17"/>
        <v>1.0079763518707652E-2</v>
      </c>
      <c r="X21" s="176">
        <f t="shared" si="18"/>
        <v>1.5119645278061477E-3</v>
      </c>
      <c r="Y21" s="171">
        <f t="shared" si="6"/>
        <v>1.8839935351272078E-3</v>
      </c>
      <c r="Z21" s="92">
        <f t="shared" si="7"/>
        <v>185448.10416871239</v>
      </c>
      <c r="AA21" s="92">
        <f t="shared" si="8"/>
        <v>1365027.4006306878</v>
      </c>
      <c r="AB21" s="92">
        <f t="shared" si="9"/>
        <v>1342472.3030555691</v>
      </c>
      <c r="AC21" s="92">
        <f t="shared" si="19"/>
        <v>2892947.8078549691</v>
      </c>
      <c r="AD21" s="211">
        <f t="shared" si="20"/>
        <v>1.0149734476930926E-3</v>
      </c>
      <c r="AF21" s="81"/>
    </row>
    <row r="22" spans="1:32">
      <c r="A22" s="85">
        <v>29</v>
      </c>
      <c r="B22" s="95" t="s">
        <v>10</v>
      </c>
      <c r="C22" s="170">
        <v>11271959</v>
      </c>
      <c r="D22" s="170">
        <v>1532778</v>
      </c>
      <c r="E22" s="171">
        <f t="shared" si="0"/>
        <v>0.13598150951400728</v>
      </c>
      <c r="F22" s="170">
        <f t="shared" si="10"/>
        <v>208429.46618986106</v>
      </c>
      <c r="G22" s="199">
        <f t="shared" si="1"/>
        <v>9.267194372109096E-5</v>
      </c>
      <c r="H22" s="108">
        <v>40903</v>
      </c>
      <c r="I22" s="172">
        <f t="shared" si="2"/>
        <v>7.0712092886401146E-3</v>
      </c>
      <c r="J22" s="173">
        <f t="shared" si="11"/>
        <v>6.0105278953440974E-3</v>
      </c>
      <c r="K22" s="170">
        <v>7068.3</v>
      </c>
      <c r="L22" s="174">
        <f t="shared" si="3"/>
        <v>0.11017295234770028</v>
      </c>
      <c r="M22" s="173">
        <f t="shared" si="12"/>
        <v>1.6525942852155039E-2</v>
      </c>
      <c r="N22" s="199">
        <f t="shared" si="13"/>
        <v>2.2536470747499135E-2</v>
      </c>
      <c r="O22" s="175">
        <v>23646</v>
      </c>
      <c r="P22" s="175">
        <v>15246</v>
      </c>
      <c r="Q22" s="176">
        <v>2.0430424666000002</v>
      </c>
      <c r="R22" s="177">
        <f t="shared" si="14"/>
        <v>1.4174901888592301E-2</v>
      </c>
      <c r="S22" s="178">
        <f t="shared" si="4"/>
        <v>2.8959926518282615E-2</v>
      </c>
      <c r="T22" s="178">
        <f t="shared" si="15"/>
        <v>1.5020281182520606E-2</v>
      </c>
      <c r="U22" s="176">
        <f t="shared" si="16"/>
        <v>1.2767239005142515E-2</v>
      </c>
      <c r="V22" s="177">
        <f t="shared" si="5"/>
        <v>1.5509641873278237</v>
      </c>
      <c r="W22" s="177">
        <f t="shared" si="17"/>
        <v>2.060960238205228E-2</v>
      </c>
      <c r="X22" s="176">
        <f t="shared" si="18"/>
        <v>3.0914403573078417E-3</v>
      </c>
      <c r="Y22" s="171">
        <f t="shared" si="6"/>
        <v>1.5858679362450355E-2</v>
      </c>
      <c r="Z22" s="92">
        <f t="shared" si="7"/>
        <v>132070.00490847111</v>
      </c>
      <c r="AA22" s="92">
        <f t="shared" si="8"/>
        <v>16058753.505805861</v>
      </c>
      <c r="AB22" s="92">
        <f t="shared" si="9"/>
        <v>11300377.315621233</v>
      </c>
      <c r="AC22" s="92">
        <f t="shared" si="19"/>
        <v>27491200.826335564</v>
      </c>
      <c r="AD22" s="211">
        <f t="shared" si="20"/>
        <v>9.6451234993479174E-3</v>
      </c>
      <c r="AF22" s="81"/>
    </row>
    <row r="23" spans="1:32">
      <c r="A23" s="85">
        <v>30</v>
      </c>
      <c r="B23" s="95" t="s">
        <v>122</v>
      </c>
      <c r="C23" s="170">
        <v>454175934</v>
      </c>
      <c r="D23" s="170">
        <v>117480531.58</v>
      </c>
      <c r="E23" s="171">
        <f t="shared" si="0"/>
        <v>0.2586674519394504</v>
      </c>
      <c r="F23" s="170">
        <f t="shared" si="10"/>
        <v>30388389.756290734</v>
      </c>
      <c r="G23" s="199">
        <f t="shared" si="1"/>
        <v>1.3511290878153878E-2</v>
      </c>
      <c r="H23" s="108">
        <v>397205</v>
      </c>
      <c r="I23" s="172">
        <f t="shared" si="2"/>
        <v>6.8667816186937305E-2</v>
      </c>
      <c r="J23" s="173">
        <f t="shared" si="11"/>
        <v>5.8367643758896706E-2</v>
      </c>
      <c r="K23" s="170">
        <v>1032</v>
      </c>
      <c r="L23" s="174">
        <f t="shared" si="3"/>
        <v>1.6085690593611857E-2</v>
      </c>
      <c r="M23" s="173">
        <f t="shared" si="12"/>
        <v>2.4128535890417784E-3</v>
      </c>
      <c r="N23" s="199">
        <f t="shared" si="13"/>
        <v>6.0780497347938486E-2</v>
      </c>
      <c r="O23" s="175">
        <v>49018</v>
      </c>
      <c r="P23" s="175">
        <v>87249</v>
      </c>
      <c r="Q23" s="176">
        <v>1.8532766358999999</v>
      </c>
      <c r="R23" s="177">
        <f t="shared" si="14"/>
        <v>8.1119376549769751E-2</v>
      </c>
      <c r="S23" s="178">
        <f t="shared" si="4"/>
        <v>0.15033664527846263</v>
      </c>
      <c r="T23" s="178">
        <f t="shared" si="15"/>
        <v>7.7973218705987155E-2</v>
      </c>
      <c r="U23" s="176">
        <f t="shared" si="16"/>
        <v>6.6277235900089077E-2</v>
      </c>
      <c r="V23" s="177">
        <f t="shared" si="5"/>
        <v>0.56181732741922541</v>
      </c>
      <c r="W23" s="177">
        <f t="shared" si="17"/>
        <v>7.4655700138420563E-3</v>
      </c>
      <c r="X23" s="176">
        <f t="shared" si="18"/>
        <v>1.1198355020763085E-3</v>
      </c>
      <c r="Y23" s="171">
        <f t="shared" si="6"/>
        <v>6.7397071402165387E-2</v>
      </c>
      <c r="Z23" s="92">
        <f t="shared" si="7"/>
        <v>19255409.792289145</v>
      </c>
      <c r="AA23" s="92">
        <f t="shared" si="8"/>
        <v>43310198.646748804</v>
      </c>
      <c r="AB23" s="92">
        <f t="shared" si="9"/>
        <v>48024953.365010597</v>
      </c>
      <c r="AC23" s="92">
        <f t="shared" si="19"/>
        <v>110590561.80404854</v>
      </c>
      <c r="AD23" s="211">
        <f t="shared" si="20"/>
        <v>3.8800037626602904E-2</v>
      </c>
      <c r="AF23" s="81"/>
    </row>
    <row r="24" spans="1:32">
      <c r="A24" s="85">
        <v>32</v>
      </c>
      <c r="B24" s="95" t="s">
        <v>11</v>
      </c>
      <c r="C24" s="170">
        <v>4666072</v>
      </c>
      <c r="D24" s="170">
        <v>3830972</v>
      </c>
      <c r="E24" s="171">
        <f t="shared" si="0"/>
        <v>0.8210271937509751</v>
      </c>
      <c r="F24" s="170">
        <f t="shared" si="10"/>
        <v>3145332.1904985607</v>
      </c>
      <c r="G24" s="199">
        <f t="shared" si="1"/>
        <v>1.3984781186192831E-3</v>
      </c>
      <c r="H24" s="108">
        <v>5506</v>
      </c>
      <c r="I24" s="172">
        <f t="shared" si="2"/>
        <v>9.5186363697656574E-4</v>
      </c>
      <c r="J24" s="173">
        <f t="shared" si="11"/>
        <v>8.0908409143008091E-4</v>
      </c>
      <c r="K24" s="170">
        <v>1888.6</v>
      </c>
      <c r="L24" s="174">
        <f t="shared" si="3"/>
        <v>2.9437437262689294E-2</v>
      </c>
      <c r="M24" s="173">
        <f t="shared" si="12"/>
        <v>4.4156155894033936E-3</v>
      </c>
      <c r="N24" s="199">
        <f t="shared" si="13"/>
        <v>5.2246996808334749E-3</v>
      </c>
      <c r="O24" s="175">
        <v>2284</v>
      </c>
      <c r="P24" s="175">
        <v>950</v>
      </c>
      <c r="Q24" s="176">
        <v>2.0503201405999998</v>
      </c>
      <c r="R24" s="177">
        <f t="shared" si="14"/>
        <v>8.8325834934820178E-4</v>
      </c>
      <c r="S24" s="178">
        <f t="shared" si="4"/>
        <v>1.8109623830217289E-3</v>
      </c>
      <c r="T24" s="178">
        <f t="shared" si="15"/>
        <v>9.3926910300624043E-4</v>
      </c>
      <c r="U24" s="176">
        <f t="shared" si="16"/>
        <v>7.9837873755530435E-4</v>
      </c>
      <c r="V24" s="177">
        <f t="shared" si="5"/>
        <v>2.4042105263157896</v>
      </c>
      <c r="W24" s="177">
        <f t="shared" si="17"/>
        <v>3.1947754432346431E-2</v>
      </c>
      <c r="X24" s="176">
        <f t="shared" si="18"/>
        <v>4.7921631648519649E-3</v>
      </c>
      <c r="Y24" s="171">
        <f t="shared" si="6"/>
        <v>5.5905419024072697E-3</v>
      </c>
      <c r="Z24" s="92">
        <f t="shared" si="7"/>
        <v>1993019.7271604592</v>
      </c>
      <c r="AA24" s="92">
        <f t="shared" si="8"/>
        <v>3722950.467995435</v>
      </c>
      <c r="AB24" s="92">
        <f t="shared" si="9"/>
        <v>3983637.6946731936</v>
      </c>
      <c r="AC24" s="92">
        <f t="shared" si="19"/>
        <v>9699607.889829088</v>
      </c>
      <c r="AD24" s="211">
        <f t="shared" si="20"/>
        <v>3.4030494551198277E-3</v>
      </c>
      <c r="AF24" s="81"/>
    </row>
    <row r="25" spans="1:32">
      <c r="A25" s="85">
        <v>33</v>
      </c>
      <c r="B25" s="95" t="s">
        <v>12</v>
      </c>
      <c r="C25" s="170">
        <v>608429684</v>
      </c>
      <c r="D25" s="170">
        <v>274113081.41000003</v>
      </c>
      <c r="E25" s="171">
        <f t="shared" si="0"/>
        <v>0.45052548982800783</v>
      </c>
      <c r="F25" s="170">
        <f t="shared" si="10"/>
        <v>123494930.27050485</v>
      </c>
      <c r="G25" s="199">
        <f t="shared" si="1"/>
        <v>5.4908336316724635E-2</v>
      </c>
      <c r="H25" s="108">
        <v>481213</v>
      </c>
      <c r="I25" s="172">
        <f t="shared" si="2"/>
        <v>8.3190911067999293E-2</v>
      </c>
      <c r="J25" s="173">
        <f t="shared" si="11"/>
        <v>7.0712274407799397E-2</v>
      </c>
      <c r="K25" s="170">
        <v>149.4</v>
      </c>
      <c r="L25" s="174">
        <f t="shared" si="3"/>
        <v>2.3286842777961352E-3</v>
      </c>
      <c r="M25" s="173">
        <f t="shared" si="12"/>
        <v>3.4930264166942025E-4</v>
      </c>
      <c r="N25" s="199">
        <f t="shared" si="13"/>
        <v>7.1061577049468819E-2</v>
      </c>
      <c r="O25" s="175">
        <v>95635</v>
      </c>
      <c r="P25" s="175">
        <v>113990</v>
      </c>
      <c r="Q25" s="176">
        <v>1.9916235985999999</v>
      </c>
      <c r="R25" s="177">
        <f t="shared" si="14"/>
        <v>0.10598170446547529</v>
      </c>
      <c r="S25" s="178">
        <f t="shared" si="4"/>
        <v>0.21107566363329158</v>
      </c>
      <c r="T25" s="178">
        <f t="shared" si="15"/>
        <v>0.10947596212157762</v>
      </c>
      <c r="U25" s="176">
        <f t="shared" si="16"/>
        <v>9.3054567803340968E-2</v>
      </c>
      <c r="V25" s="177">
        <f t="shared" si="5"/>
        <v>0.83897710325467145</v>
      </c>
      <c r="W25" s="177">
        <f t="shared" si="17"/>
        <v>1.1148538855378512E-2</v>
      </c>
      <c r="X25" s="176">
        <f t="shared" si="18"/>
        <v>1.6722808283067768E-3</v>
      </c>
      <c r="Y25" s="171">
        <f t="shared" si="6"/>
        <v>9.472684863164775E-2</v>
      </c>
      <c r="Z25" s="92">
        <f t="shared" si="7"/>
        <v>78251776.704834551</v>
      </c>
      <c r="AA25" s="92">
        <f t="shared" si="8"/>
        <v>50636160.486569755</v>
      </c>
      <c r="AB25" s="92">
        <f t="shared" si="9"/>
        <v>67499260.62518999</v>
      </c>
      <c r="AC25" s="92">
        <f t="shared" si="19"/>
        <v>196387197.8165943</v>
      </c>
      <c r="AD25" s="211">
        <f t="shared" si="20"/>
        <v>6.8901274578641467E-2</v>
      </c>
      <c r="AF25" s="81"/>
    </row>
    <row r="26" spans="1:32">
      <c r="A26" s="85">
        <v>34</v>
      </c>
      <c r="B26" s="95" t="s">
        <v>123</v>
      </c>
      <c r="C26" s="170">
        <v>13398361</v>
      </c>
      <c r="D26" s="170">
        <v>4470670.41</v>
      </c>
      <c r="E26" s="171">
        <f t="shared" si="0"/>
        <v>0.33367293283111271</v>
      </c>
      <c r="F26" s="170">
        <f t="shared" si="10"/>
        <v>1491741.7074259731</v>
      </c>
      <c r="G26" s="199">
        <f t="shared" si="1"/>
        <v>6.6325844461481741E-4</v>
      </c>
      <c r="H26" s="108">
        <v>14109</v>
      </c>
      <c r="I26" s="172">
        <f t="shared" si="2"/>
        <v>2.4391289600621804E-3</v>
      </c>
      <c r="J26" s="173">
        <f t="shared" si="11"/>
        <v>2.0732596160528533E-3</v>
      </c>
      <c r="K26" s="170">
        <v>2478.8000000000002</v>
      </c>
      <c r="L26" s="174">
        <f t="shared" si="3"/>
        <v>3.8636831243648327E-2</v>
      </c>
      <c r="M26" s="173">
        <f t="shared" si="12"/>
        <v>5.7955246865472486E-3</v>
      </c>
      <c r="N26" s="199">
        <f t="shared" si="13"/>
        <v>7.8687843026001014E-3</v>
      </c>
      <c r="O26" s="175">
        <v>5621</v>
      </c>
      <c r="P26" s="175">
        <v>1660</v>
      </c>
      <c r="Q26" s="176">
        <v>2.1173054283999999</v>
      </c>
      <c r="R26" s="177">
        <f t="shared" si="14"/>
        <v>1.543377747282121E-3</v>
      </c>
      <c r="S26" s="178">
        <f t="shared" si="4"/>
        <v>3.2678020823921979E-3</v>
      </c>
      <c r="T26" s="178">
        <f t="shared" si="15"/>
        <v>1.6948698435187855E-3</v>
      </c>
      <c r="U26" s="176">
        <f t="shared" si="16"/>
        <v>1.4406393669909676E-3</v>
      </c>
      <c r="V26" s="177">
        <f t="shared" si="5"/>
        <v>3.3861445783132531</v>
      </c>
      <c r="W26" s="177">
        <f t="shared" si="17"/>
        <v>4.499594119411314E-2</v>
      </c>
      <c r="X26" s="176">
        <f t="shared" si="18"/>
        <v>6.7493911791169708E-3</v>
      </c>
      <c r="Y26" s="171">
        <f t="shared" si="6"/>
        <v>8.1900305461079376E-3</v>
      </c>
      <c r="Z26" s="92">
        <f t="shared" si="7"/>
        <v>945232.64019904193</v>
      </c>
      <c r="AA26" s="92">
        <f t="shared" si="8"/>
        <v>5607038.8714183187</v>
      </c>
      <c r="AB26" s="92">
        <f t="shared" si="9"/>
        <v>5835948.4596567927</v>
      </c>
      <c r="AC26" s="92">
        <f t="shared" si="19"/>
        <v>12388219.971274152</v>
      </c>
      <c r="AD26" s="211">
        <f t="shared" si="20"/>
        <v>4.3463329344844183E-3</v>
      </c>
      <c r="AF26" s="81"/>
    </row>
    <row r="27" spans="1:32">
      <c r="A27" s="85">
        <v>35</v>
      </c>
      <c r="B27" s="95" t="s">
        <v>13</v>
      </c>
      <c r="C27" s="170">
        <v>963025</v>
      </c>
      <c r="D27" s="170">
        <v>327583</v>
      </c>
      <c r="E27" s="171">
        <f t="shared" si="0"/>
        <v>0.34016043197217105</v>
      </c>
      <c r="F27" s="170">
        <f t="shared" si="10"/>
        <v>111430.77478673971</v>
      </c>
      <c r="G27" s="199">
        <f t="shared" si="1"/>
        <v>4.9544369510728193E-5</v>
      </c>
      <c r="H27" s="108">
        <v>1808</v>
      </c>
      <c r="I27" s="172">
        <f t="shared" si="2"/>
        <v>3.1256256005332924E-4</v>
      </c>
      <c r="J27" s="173">
        <f t="shared" si="11"/>
        <v>2.6567817604532983E-4</v>
      </c>
      <c r="K27" s="170">
        <v>387.9</v>
      </c>
      <c r="L27" s="174">
        <f t="shared" si="3"/>
        <v>6.0461621911453867E-3</v>
      </c>
      <c r="M27" s="173">
        <f t="shared" si="12"/>
        <v>9.0692432867180801E-4</v>
      </c>
      <c r="N27" s="199">
        <f t="shared" si="13"/>
        <v>1.1726025047171379E-3</v>
      </c>
      <c r="O27" s="175">
        <v>196</v>
      </c>
      <c r="P27" s="175">
        <v>185</v>
      </c>
      <c r="Q27" s="176">
        <v>1.7757863003000001</v>
      </c>
      <c r="R27" s="177">
        <f t="shared" si="14"/>
        <v>1.7200294171517615E-4</v>
      </c>
      <c r="S27" s="178">
        <f t="shared" si="4"/>
        <v>3.054404675091092E-4</v>
      </c>
      <c r="T27" s="178">
        <f t="shared" si="15"/>
        <v>1.5841896917835949E-4</v>
      </c>
      <c r="U27" s="176">
        <f t="shared" si="16"/>
        <v>1.3465612380160556E-4</v>
      </c>
      <c r="V27" s="177">
        <f t="shared" si="5"/>
        <v>1.0594594594594595</v>
      </c>
      <c r="W27" s="177">
        <f t="shared" si="17"/>
        <v>1.4078363883426199E-2</v>
      </c>
      <c r="X27" s="176">
        <f t="shared" si="18"/>
        <v>2.1117545825139299E-3</v>
      </c>
      <c r="Y27" s="171">
        <f t="shared" si="6"/>
        <v>2.2464107063155355E-3</v>
      </c>
      <c r="Z27" s="92">
        <f t="shared" si="7"/>
        <v>70607.401352905916</v>
      </c>
      <c r="AA27" s="92">
        <f t="shared" si="8"/>
        <v>835558.27327722521</v>
      </c>
      <c r="AB27" s="92">
        <f t="shared" si="9"/>
        <v>1600718.9506159748</v>
      </c>
      <c r="AC27" s="92">
        <f t="shared" si="19"/>
        <v>2506884.6252461057</v>
      </c>
      <c r="AD27" s="211">
        <f t="shared" si="20"/>
        <v>8.795254875135324E-4</v>
      </c>
      <c r="AF27" s="81"/>
    </row>
    <row r="28" spans="1:32">
      <c r="A28" s="85">
        <v>61</v>
      </c>
      <c r="B28" s="95" t="s">
        <v>14</v>
      </c>
      <c r="C28" s="170">
        <v>1756335</v>
      </c>
      <c r="D28" s="170">
        <v>324333</v>
      </c>
      <c r="E28" s="171">
        <f t="shared" si="0"/>
        <v>0.18466465679952856</v>
      </c>
      <c r="F28" s="170">
        <f t="shared" si="10"/>
        <v>59892.8421337615</v>
      </c>
      <c r="G28" s="199">
        <f t="shared" si="1"/>
        <v>2.6629565372778022E-5</v>
      </c>
      <c r="H28" s="108">
        <v>6282</v>
      </c>
      <c r="I28" s="172">
        <f t="shared" si="2"/>
        <v>1.0860165941675964E-3</v>
      </c>
      <c r="J28" s="173">
        <f t="shared" si="11"/>
        <v>9.2311410504245688E-4</v>
      </c>
      <c r="K28" s="170">
        <v>1306.7</v>
      </c>
      <c r="L28" s="174">
        <f t="shared" si="3"/>
        <v>2.0367414630496718E-2</v>
      </c>
      <c r="M28" s="173">
        <f t="shared" si="12"/>
        <v>3.0551121945745076E-3</v>
      </c>
      <c r="N28" s="199">
        <f t="shared" si="13"/>
        <v>3.9782262996169646E-3</v>
      </c>
      <c r="O28" s="175">
        <v>3611</v>
      </c>
      <c r="P28" s="175">
        <v>3897</v>
      </c>
      <c r="Q28" s="176">
        <v>2.6101222018999999</v>
      </c>
      <c r="R28" s="177">
        <f t="shared" si="14"/>
        <v>3.6232187235894133E-3</v>
      </c>
      <c r="S28" s="178">
        <f t="shared" si="4"/>
        <v>9.4570436327805069E-3</v>
      </c>
      <c r="T28" s="178">
        <f t="shared" si="15"/>
        <v>4.9049659856717437E-3</v>
      </c>
      <c r="U28" s="176">
        <f t="shared" si="16"/>
        <v>4.1692210878209821E-3</v>
      </c>
      <c r="V28" s="177">
        <f t="shared" si="5"/>
        <v>0.92661021298434698</v>
      </c>
      <c r="W28" s="177">
        <f t="shared" si="17"/>
        <v>1.2313029668118099E-2</v>
      </c>
      <c r="X28" s="176">
        <f t="shared" si="18"/>
        <v>1.8469544502177147E-3</v>
      </c>
      <c r="Y28" s="171">
        <f t="shared" si="6"/>
        <v>6.0161755380386973E-3</v>
      </c>
      <c r="Z28" s="92">
        <f t="shared" si="7"/>
        <v>37950.718289432276</v>
      </c>
      <c r="AA28" s="92">
        <f t="shared" si="8"/>
        <v>2834754.2191339941</v>
      </c>
      <c r="AB28" s="92">
        <f t="shared" si="9"/>
        <v>4286930.3315268848</v>
      </c>
      <c r="AC28" s="92">
        <f t="shared" si="19"/>
        <v>7159635.2689503115</v>
      </c>
      <c r="AD28" s="211">
        <f t="shared" si="20"/>
        <v>2.5119152421003046E-3</v>
      </c>
      <c r="AF28" s="81"/>
    </row>
    <row r="29" spans="1:32">
      <c r="A29" s="85">
        <v>36</v>
      </c>
      <c r="B29" s="95" t="s">
        <v>15</v>
      </c>
      <c r="C29" s="170">
        <v>68892512</v>
      </c>
      <c r="D29" s="170">
        <v>17981384</v>
      </c>
      <c r="E29" s="171">
        <f t="shared" si="0"/>
        <v>0.26100636307179509</v>
      </c>
      <c r="F29" s="170">
        <f t="shared" si="10"/>
        <v>4693255.6408373667</v>
      </c>
      <c r="G29" s="199">
        <f t="shared" si="1"/>
        <v>2.0867160990576399E-3</v>
      </c>
      <c r="H29" s="108">
        <v>102149</v>
      </c>
      <c r="I29" s="172">
        <f t="shared" si="2"/>
        <v>1.7659266010446643E-2</v>
      </c>
      <c r="J29" s="173">
        <f t="shared" si="11"/>
        <v>1.5010376108879647E-2</v>
      </c>
      <c r="K29" s="170">
        <v>184.5</v>
      </c>
      <c r="L29" s="174">
        <f t="shared" si="3"/>
        <v>2.8757848008928175E-3</v>
      </c>
      <c r="M29" s="173">
        <f t="shared" si="12"/>
        <v>4.3136772013392259E-4</v>
      </c>
      <c r="N29" s="199">
        <f t="shared" si="13"/>
        <v>1.544174382901357E-2</v>
      </c>
      <c r="O29" s="175">
        <v>12989</v>
      </c>
      <c r="P29" s="175">
        <v>23008</v>
      </c>
      <c r="Q29" s="176">
        <v>1.8972127424</v>
      </c>
      <c r="R29" s="177">
        <f t="shared" si="14"/>
        <v>2.1391587475582556E-2</v>
      </c>
      <c r="S29" s="178">
        <f t="shared" si="4"/>
        <v>4.0584392338839474E-2</v>
      </c>
      <c r="T29" s="178">
        <f t="shared" si="15"/>
        <v>2.1049396798927165E-2</v>
      </c>
      <c r="U29" s="176">
        <f t="shared" si="16"/>
        <v>1.7891987279088091E-2</v>
      </c>
      <c r="V29" s="177">
        <f t="shared" si="5"/>
        <v>0.56454276773296241</v>
      </c>
      <c r="W29" s="177">
        <f t="shared" si="17"/>
        <v>7.5017863505189922E-3</v>
      </c>
      <c r="X29" s="176">
        <f t="shared" si="18"/>
        <v>1.1252679525778487E-3</v>
      </c>
      <c r="Y29" s="171">
        <f t="shared" si="6"/>
        <v>1.901725523166594E-2</v>
      </c>
      <c r="Z29" s="92">
        <f t="shared" si="7"/>
        <v>2973851.5712432042</v>
      </c>
      <c r="AA29" s="92">
        <f t="shared" si="8"/>
        <v>11003282.662501423</v>
      </c>
      <c r="AB29" s="92">
        <f t="shared" si="9"/>
        <v>13551075.389930328</v>
      </c>
      <c r="AC29" s="92">
        <f t="shared" si="19"/>
        <v>27528209.623674955</v>
      </c>
      <c r="AD29" s="211">
        <f t="shared" si="20"/>
        <v>9.6581078146986982E-3</v>
      </c>
      <c r="AF29" s="81"/>
    </row>
    <row r="30" spans="1:32">
      <c r="A30" s="85">
        <v>28</v>
      </c>
      <c r="B30" s="95" t="s">
        <v>16</v>
      </c>
      <c r="C30" s="170">
        <v>1121319652</v>
      </c>
      <c r="D30" s="170">
        <v>379311777.88999999</v>
      </c>
      <c r="E30" s="171">
        <f t="shared" si="0"/>
        <v>0.33827265687661379</v>
      </c>
      <c r="F30" s="170">
        <f t="shared" si="10"/>
        <v>128310802.8914423</v>
      </c>
      <c r="G30" s="199">
        <f t="shared" si="1"/>
        <v>5.7049570397749064E-2</v>
      </c>
      <c r="H30" s="108">
        <v>643143</v>
      </c>
      <c r="I30" s="172">
        <f t="shared" si="2"/>
        <v>0.11118496823029775</v>
      </c>
      <c r="J30" s="173">
        <f t="shared" si="11"/>
        <v>9.4507222995753079E-2</v>
      </c>
      <c r="K30" s="170">
        <v>118.4</v>
      </c>
      <c r="L30" s="174">
        <f t="shared" si="3"/>
        <v>1.8454900836081822E-3</v>
      </c>
      <c r="M30" s="173">
        <f t="shared" si="12"/>
        <v>2.7682351254122733E-4</v>
      </c>
      <c r="N30" s="199">
        <f t="shared" si="13"/>
        <v>9.4784046508294306E-2</v>
      </c>
      <c r="O30" s="175">
        <v>113831</v>
      </c>
      <c r="P30" s="175">
        <v>95688</v>
      </c>
      <c r="Q30" s="176">
        <v>1.8797706219999999</v>
      </c>
      <c r="R30" s="177">
        <f t="shared" si="14"/>
        <v>8.8965499928874453E-2</v>
      </c>
      <c r="S30" s="178">
        <f t="shared" si="4"/>
        <v>0.16723473313784129</v>
      </c>
      <c r="T30" s="178">
        <f t="shared" si="15"/>
        <v>8.6737537597976422E-2</v>
      </c>
      <c r="U30" s="176">
        <f t="shared" si="16"/>
        <v>7.372690695827995E-2</v>
      </c>
      <c r="V30" s="177">
        <f t="shared" si="5"/>
        <v>1.1896058021904523</v>
      </c>
      <c r="W30" s="177">
        <f t="shared" si="17"/>
        <v>1.5807781233665195E-2</v>
      </c>
      <c r="X30" s="176">
        <f t="shared" si="18"/>
        <v>2.3711671850497793E-3</v>
      </c>
      <c r="Y30" s="171">
        <f t="shared" si="6"/>
        <v>7.6098074143329725E-2</v>
      </c>
      <c r="Z30" s="92">
        <f t="shared" si="7"/>
        <v>81303323.745243952</v>
      </c>
      <c r="AA30" s="92">
        <f t="shared" si="8"/>
        <v>67540017.965255082</v>
      </c>
      <c r="AB30" s="92">
        <f t="shared" si="9"/>
        <v>54225003.933674045</v>
      </c>
      <c r="AC30" s="92">
        <f t="shared" si="19"/>
        <v>203068345.64417309</v>
      </c>
      <c r="AD30" s="211">
        <f t="shared" si="20"/>
        <v>7.124531536178054E-2</v>
      </c>
      <c r="AF30" s="81"/>
    </row>
    <row r="31" spans="1:32">
      <c r="A31" s="85">
        <v>37</v>
      </c>
      <c r="B31" s="95" t="s">
        <v>124</v>
      </c>
      <c r="C31" s="170">
        <v>1141678</v>
      </c>
      <c r="D31" s="170">
        <v>339843</v>
      </c>
      <c r="E31" s="171">
        <f t="shared" si="0"/>
        <v>0.29766974576018806</v>
      </c>
      <c r="F31" s="170">
        <f t="shared" si="10"/>
        <v>101160.97940837959</v>
      </c>
      <c r="G31" s="199">
        <f t="shared" si="1"/>
        <v>4.497821139149387E-5</v>
      </c>
      <c r="H31" s="108">
        <v>1959</v>
      </c>
      <c r="I31" s="172">
        <f t="shared" si="2"/>
        <v>3.3866706589849116E-4</v>
      </c>
      <c r="J31" s="173">
        <f t="shared" si="11"/>
        <v>2.8786700601371749E-4</v>
      </c>
      <c r="K31" s="170">
        <v>496.6</v>
      </c>
      <c r="L31" s="174">
        <f t="shared" si="3"/>
        <v>7.7404592527012097E-3</v>
      </c>
      <c r="M31" s="173">
        <f t="shared" si="12"/>
        <v>1.1610688879051814E-3</v>
      </c>
      <c r="N31" s="199">
        <f t="shared" si="13"/>
        <v>1.4489358939188989E-3</v>
      </c>
      <c r="O31" s="175">
        <v>188</v>
      </c>
      <c r="P31" s="175">
        <v>192</v>
      </c>
      <c r="Q31" s="176">
        <v>1.9505591721</v>
      </c>
      <c r="R31" s="177">
        <f t="shared" si="14"/>
        <v>1.7851116113142606E-4</v>
      </c>
      <c r="S31" s="178">
        <f t="shared" si="4"/>
        <v>3.4819658266712413E-4</v>
      </c>
      <c r="T31" s="178">
        <f t="shared" si="15"/>
        <v>1.8059474616246836E-4</v>
      </c>
      <c r="U31" s="176">
        <f t="shared" si="16"/>
        <v>1.5350553423809811E-4</v>
      </c>
      <c r="V31" s="177">
        <f t="shared" si="5"/>
        <v>0.97916666666666663</v>
      </c>
      <c r="W31" s="177">
        <f t="shared" si="17"/>
        <v>1.3011413049148681E-2</v>
      </c>
      <c r="X31" s="176">
        <f t="shared" si="18"/>
        <v>1.9517119573723022E-3</v>
      </c>
      <c r="Y31" s="171">
        <f t="shared" si="6"/>
        <v>2.1052174916104003E-3</v>
      </c>
      <c r="Z31" s="92">
        <f t="shared" si="7"/>
        <v>64100.010863340889</v>
      </c>
      <c r="AA31" s="92">
        <f t="shared" si="8"/>
        <v>1032464.4274099628</v>
      </c>
      <c r="AB31" s="92">
        <f t="shared" si="9"/>
        <v>1500109.2741033514</v>
      </c>
      <c r="AC31" s="92">
        <f t="shared" si="19"/>
        <v>2596673.7123766551</v>
      </c>
      <c r="AD31" s="211">
        <f t="shared" si="20"/>
        <v>9.1102745207807183E-4</v>
      </c>
      <c r="AF31" s="81"/>
    </row>
    <row r="32" spans="1:32">
      <c r="A32" s="85">
        <v>39</v>
      </c>
      <c r="B32" s="95" t="s">
        <v>17</v>
      </c>
      <c r="C32" s="170">
        <v>2489890</v>
      </c>
      <c r="D32" s="170">
        <v>556291</v>
      </c>
      <c r="E32" s="171">
        <f t="shared" si="0"/>
        <v>0.22341991011651116</v>
      </c>
      <c r="F32" s="170">
        <f t="shared" si="10"/>
        <v>124286.4852186241</v>
      </c>
      <c r="G32" s="199">
        <f t="shared" si="1"/>
        <v>5.5260277608640817E-5</v>
      </c>
      <c r="H32" s="108">
        <v>16086</v>
      </c>
      <c r="I32" s="172">
        <f t="shared" si="2"/>
        <v>2.7809078213594327E-3</v>
      </c>
      <c r="J32" s="173">
        <f t="shared" si="11"/>
        <v>2.3637716481555177E-3</v>
      </c>
      <c r="K32" s="170">
        <v>170.6</v>
      </c>
      <c r="L32" s="174">
        <f t="shared" si="3"/>
        <v>2.6591267589827351E-3</v>
      </c>
      <c r="M32" s="173">
        <f t="shared" si="12"/>
        <v>3.9886901384741024E-4</v>
      </c>
      <c r="N32" s="199">
        <f t="shared" si="13"/>
        <v>2.762640662002928E-3</v>
      </c>
      <c r="O32" s="175">
        <v>3006</v>
      </c>
      <c r="P32" s="175">
        <v>3272</v>
      </c>
      <c r="Q32" s="176">
        <v>1.6415123341</v>
      </c>
      <c r="R32" s="177">
        <f t="shared" si="14"/>
        <v>3.0421277042813858E-3</v>
      </c>
      <c r="S32" s="178">
        <f t="shared" si="4"/>
        <v>4.9936901484852123E-3</v>
      </c>
      <c r="T32" s="178">
        <f t="shared" si="15"/>
        <v>2.5900145195906737E-3</v>
      </c>
      <c r="U32" s="176">
        <f t="shared" si="16"/>
        <v>2.2015123416520726E-3</v>
      </c>
      <c r="V32" s="177">
        <f t="shared" si="5"/>
        <v>0.91870415647921755</v>
      </c>
      <c r="W32" s="177">
        <f t="shared" si="17"/>
        <v>1.2207971999919139E-2</v>
      </c>
      <c r="X32" s="176">
        <f t="shared" si="18"/>
        <v>1.8311957999878707E-3</v>
      </c>
      <c r="Y32" s="171">
        <f t="shared" si="6"/>
        <v>4.0327081416399431E-3</v>
      </c>
      <c r="Z32" s="92">
        <f t="shared" si="7"/>
        <v>78753.340460643478</v>
      </c>
      <c r="AA32" s="92">
        <f t="shared" si="8"/>
        <v>1968567.5682446626</v>
      </c>
      <c r="AB32" s="92">
        <f t="shared" si="9"/>
        <v>2873576.2015726757</v>
      </c>
      <c r="AC32" s="92">
        <f t="shared" si="19"/>
        <v>4920897.1102779815</v>
      </c>
      <c r="AD32" s="211">
        <f t="shared" si="20"/>
        <v>1.7264673397150382E-3</v>
      </c>
      <c r="AF32" s="81"/>
    </row>
    <row r="33" spans="1:32">
      <c r="A33" s="85">
        <v>38</v>
      </c>
      <c r="B33" s="95" t="s">
        <v>18</v>
      </c>
      <c r="C33" s="170">
        <v>717513</v>
      </c>
      <c r="D33" s="170">
        <v>288254</v>
      </c>
      <c r="E33" s="171">
        <f t="shared" si="0"/>
        <v>0.40174045627047872</v>
      </c>
      <c r="F33" s="170">
        <f t="shared" si="10"/>
        <v>115803.29348179058</v>
      </c>
      <c r="G33" s="199">
        <f t="shared" si="1"/>
        <v>5.1488479495916468E-5</v>
      </c>
      <c r="H33" s="108">
        <v>1386</v>
      </c>
      <c r="I33" s="172">
        <f t="shared" si="2"/>
        <v>2.3960824570459864E-4</v>
      </c>
      <c r="J33" s="173">
        <f t="shared" si="11"/>
        <v>2.0366700884890884E-4</v>
      </c>
      <c r="K33" s="170">
        <v>443.2</v>
      </c>
      <c r="L33" s="174">
        <f t="shared" si="3"/>
        <v>6.9081182859387349E-3</v>
      </c>
      <c r="M33" s="173">
        <f t="shared" si="12"/>
        <v>1.0362177428908102E-3</v>
      </c>
      <c r="N33" s="199">
        <f t="shared" si="13"/>
        <v>1.239884751739719E-3</v>
      </c>
      <c r="O33" s="175">
        <v>237</v>
      </c>
      <c r="P33" s="175">
        <v>131</v>
      </c>
      <c r="Q33" s="176">
        <v>2.2584083591000002</v>
      </c>
      <c r="R33" s="177">
        <f t="shared" si="14"/>
        <v>1.2179667764696256E-4</v>
      </c>
      <c r="S33" s="178">
        <f t="shared" si="4"/>
        <v>2.7506663490850839E-4</v>
      </c>
      <c r="T33" s="178">
        <f t="shared" si="15"/>
        <v>1.426653550949875E-4</v>
      </c>
      <c r="U33" s="176">
        <f t="shared" si="16"/>
        <v>1.2126555183073937E-4</v>
      </c>
      <c r="V33" s="177">
        <f t="shared" si="5"/>
        <v>1.8091603053435115</v>
      </c>
      <c r="W33" s="177">
        <f t="shared" si="17"/>
        <v>2.4040577366755789E-2</v>
      </c>
      <c r="X33" s="176">
        <f t="shared" si="18"/>
        <v>3.6060866050133681E-3</v>
      </c>
      <c r="Y33" s="171">
        <f t="shared" si="6"/>
        <v>3.7273521568441073E-3</v>
      </c>
      <c r="Z33" s="92">
        <f t="shared" si="7"/>
        <v>73378.019999463853</v>
      </c>
      <c r="AA33" s="92">
        <f t="shared" si="8"/>
        <v>883501.40653700009</v>
      </c>
      <c r="AB33" s="92">
        <f t="shared" si="9"/>
        <v>2655989.4930636208</v>
      </c>
      <c r="AC33" s="92">
        <f t="shared" si="19"/>
        <v>3612868.9196000844</v>
      </c>
      <c r="AD33" s="211">
        <f t="shared" si="20"/>
        <v>1.2675534668939146E-3</v>
      </c>
      <c r="AF33" s="81"/>
    </row>
    <row r="34" spans="1:32">
      <c r="A34" s="85">
        <v>40</v>
      </c>
      <c r="B34" s="95" t="s">
        <v>19</v>
      </c>
      <c r="C34" s="170">
        <v>2279973</v>
      </c>
      <c r="D34" s="170">
        <v>717552</v>
      </c>
      <c r="E34" s="171">
        <f t="shared" si="0"/>
        <v>0.31471951641532597</v>
      </c>
      <c r="F34" s="170">
        <f t="shared" si="10"/>
        <v>225827.61844284998</v>
      </c>
      <c r="G34" s="199">
        <f t="shared" si="1"/>
        <v>1.0040751305259459E-4</v>
      </c>
      <c r="H34" s="108">
        <v>7026</v>
      </c>
      <c r="I34" s="172">
        <f t="shared" si="2"/>
        <v>1.2146374706497186E-3</v>
      </c>
      <c r="J34" s="173">
        <f t="shared" si="11"/>
        <v>1.0324418500522608E-3</v>
      </c>
      <c r="K34" s="170">
        <v>127.8</v>
      </c>
      <c r="L34" s="174">
        <f t="shared" si="3"/>
        <v>1.9920070328135614E-3</v>
      </c>
      <c r="M34" s="173">
        <f t="shared" si="12"/>
        <v>2.9880105492203422E-4</v>
      </c>
      <c r="N34" s="199">
        <f t="shared" si="13"/>
        <v>1.331242904974295E-3</v>
      </c>
      <c r="O34" s="175">
        <v>2843</v>
      </c>
      <c r="P34" s="175">
        <v>1571</v>
      </c>
      <c r="Q34" s="176">
        <v>1.4705313694</v>
      </c>
      <c r="R34" s="177">
        <f t="shared" si="14"/>
        <v>1.4606303861326581E-3</v>
      </c>
      <c r="S34" s="178">
        <f t="shared" si="4"/>
        <v>2.1479028019069082E-3</v>
      </c>
      <c r="T34" s="178">
        <f t="shared" si="15"/>
        <v>1.1140257561426585E-3</v>
      </c>
      <c r="U34" s="176">
        <f t="shared" si="16"/>
        <v>9.4692189272125974E-4</v>
      </c>
      <c r="V34" s="177">
        <f t="shared" si="5"/>
        <v>1.8096753660089115</v>
      </c>
      <c r="W34" s="177">
        <f t="shared" si="17"/>
        <v>2.4047421622479592E-2</v>
      </c>
      <c r="X34" s="176">
        <f t="shared" si="18"/>
        <v>3.6071132433719384E-3</v>
      </c>
      <c r="Y34" s="171">
        <f t="shared" si="6"/>
        <v>4.554035136093198E-3</v>
      </c>
      <c r="Z34" s="92">
        <f t="shared" si="7"/>
        <v>143094.23337028324</v>
      </c>
      <c r="AA34" s="92">
        <f t="shared" si="8"/>
        <v>948600.2447702447</v>
      </c>
      <c r="AB34" s="92">
        <f t="shared" si="9"/>
        <v>3245056.8026679675</v>
      </c>
      <c r="AC34" s="92">
        <f t="shared" si="19"/>
        <v>4336751.2808084954</v>
      </c>
      <c r="AD34" s="211">
        <f t="shared" si="20"/>
        <v>1.5215232667931706E-3</v>
      </c>
      <c r="AF34" s="81"/>
    </row>
    <row r="35" spans="1:32">
      <c r="A35" s="85">
        <v>41</v>
      </c>
      <c r="B35" s="95" t="s">
        <v>20</v>
      </c>
      <c r="C35" s="170">
        <v>679376</v>
      </c>
      <c r="D35" s="170">
        <v>133111</v>
      </c>
      <c r="E35" s="171">
        <f t="shared" si="0"/>
        <v>0.1959312663385224</v>
      </c>
      <c r="F35" s="170">
        <f t="shared" si="10"/>
        <v>26080.606793587056</v>
      </c>
      <c r="G35" s="199">
        <f t="shared" si="1"/>
        <v>1.1595963704985841E-5</v>
      </c>
      <c r="H35" s="108">
        <v>3298</v>
      </c>
      <c r="I35" s="172">
        <f t="shared" si="2"/>
        <v>5.7015006806188052E-4</v>
      </c>
      <c r="J35" s="173">
        <f t="shared" si="11"/>
        <v>4.8462755785259843E-4</v>
      </c>
      <c r="K35" s="170">
        <v>560.5</v>
      </c>
      <c r="L35" s="174">
        <f t="shared" si="3"/>
        <v>8.7364627691079895E-3</v>
      </c>
      <c r="M35" s="173">
        <f t="shared" si="12"/>
        <v>1.3104694153661983E-3</v>
      </c>
      <c r="N35" s="199">
        <f t="shared" si="13"/>
        <v>1.7950969732187967E-3</v>
      </c>
      <c r="O35" s="175">
        <v>2022</v>
      </c>
      <c r="P35" s="175">
        <v>1144</v>
      </c>
      <c r="Q35" s="176">
        <v>2.2004042460000002</v>
      </c>
      <c r="R35" s="177">
        <f t="shared" si="14"/>
        <v>1.0636290017414136E-3</v>
      </c>
      <c r="S35" s="178">
        <f t="shared" si="4"/>
        <v>2.3404137716005482E-3</v>
      </c>
      <c r="T35" s="178">
        <f t="shared" si="15"/>
        <v>1.2138730017388346E-3</v>
      </c>
      <c r="U35" s="176">
        <f t="shared" si="16"/>
        <v>1.0317920514780095E-3</v>
      </c>
      <c r="V35" s="177">
        <f t="shared" si="5"/>
        <v>1.7674825174825175</v>
      </c>
      <c r="W35" s="177">
        <f t="shared" si="17"/>
        <v>2.3486752434499599E-2</v>
      </c>
      <c r="X35" s="176">
        <f t="shared" si="18"/>
        <v>3.5230128651749398E-3</v>
      </c>
      <c r="Y35" s="171">
        <f t="shared" si="6"/>
        <v>4.5548049166529488E-3</v>
      </c>
      <c r="Z35" s="92">
        <f t="shared" si="7"/>
        <v>16525.81053058659</v>
      </c>
      <c r="AA35" s="92">
        <f t="shared" si="8"/>
        <v>1279127.5144595464</v>
      </c>
      <c r="AB35" s="92">
        <f t="shared" si="9"/>
        <v>3245605.3231706275</v>
      </c>
      <c r="AC35" s="92">
        <f t="shared" si="19"/>
        <v>4541258.6481607603</v>
      </c>
      <c r="AD35" s="211">
        <f t="shared" si="20"/>
        <v>1.5932734543204292E-3</v>
      </c>
      <c r="AF35" s="81"/>
    </row>
    <row r="36" spans="1:32">
      <c r="A36" s="85">
        <v>42</v>
      </c>
      <c r="B36" s="95" t="s">
        <v>125</v>
      </c>
      <c r="C36" s="170">
        <v>729847622</v>
      </c>
      <c r="D36" s="170">
        <v>161250557.63999999</v>
      </c>
      <c r="E36" s="171">
        <f t="shared" si="0"/>
        <v>0.22093729263394105</v>
      </c>
      <c r="F36" s="170">
        <f t="shared" si="10"/>
        <v>35626261.640694857</v>
      </c>
      <c r="G36" s="199">
        <f t="shared" si="1"/>
        <v>1.5840154341478316E-2</v>
      </c>
      <c r="H36" s="108">
        <v>471523</v>
      </c>
      <c r="I36" s="172">
        <f t="shared" si="2"/>
        <v>8.1515727878332944E-2</v>
      </c>
      <c r="J36" s="173">
        <f t="shared" si="11"/>
        <v>6.9288368696583003E-2</v>
      </c>
      <c r="K36" s="170">
        <v>247.3</v>
      </c>
      <c r="L36" s="174">
        <f t="shared" si="3"/>
        <v>3.8546427168606708E-3</v>
      </c>
      <c r="M36" s="173">
        <f t="shared" si="12"/>
        <v>5.7819640752910064E-4</v>
      </c>
      <c r="N36" s="199">
        <f t="shared" si="13"/>
        <v>6.9866565104112099E-2</v>
      </c>
      <c r="O36" s="175">
        <v>78885</v>
      </c>
      <c r="P36" s="175">
        <v>113737</v>
      </c>
      <c r="Q36" s="176">
        <v>1.9568038190999999</v>
      </c>
      <c r="R36" s="177">
        <f t="shared" si="14"/>
        <v>0.1057464788208594</v>
      </c>
      <c r="S36" s="178">
        <f t="shared" si="4"/>
        <v>0.20692511361303492</v>
      </c>
      <c r="T36" s="178">
        <f t="shared" si="15"/>
        <v>0.10732324849756292</v>
      </c>
      <c r="U36" s="176">
        <f t="shared" si="16"/>
        <v>9.1224761222928483E-2</v>
      </c>
      <c r="V36" s="177">
        <f t="shared" si="5"/>
        <v>0.69357377106834184</v>
      </c>
      <c r="W36" s="177">
        <f t="shared" si="17"/>
        <v>9.216382790222178E-3</v>
      </c>
      <c r="X36" s="176">
        <f t="shared" si="18"/>
        <v>1.3824574185333266E-3</v>
      </c>
      <c r="Y36" s="171">
        <f t="shared" si="6"/>
        <v>9.2607218641461805E-2</v>
      </c>
      <c r="Z36" s="92">
        <f t="shared" si="7"/>
        <v>22574353.980598189</v>
      </c>
      <c r="AA36" s="92">
        <f t="shared" si="8"/>
        <v>49784633.977295592</v>
      </c>
      <c r="AB36" s="92">
        <f t="shared" si="9"/>
        <v>65988881.4749991</v>
      </c>
      <c r="AC36" s="92">
        <f t="shared" si="19"/>
        <v>138347869.43289289</v>
      </c>
      <c r="AD36" s="211">
        <f t="shared" si="20"/>
        <v>4.8538523107132636E-2</v>
      </c>
      <c r="AF36" s="81"/>
    </row>
    <row r="37" spans="1:32">
      <c r="A37" s="85">
        <v>43</v>
      </c>
      <c r="B37" s="95" t="s">
        <v>21</v>
      </c>
      <c r="C37" s="170">
        <v>5018993</v>
      </c>
      <c r="D37" s="170">
        <v>4617912</v>
      </c>
      <c r="E37" s="171">
        <f t="shared" si="0"/>
        <v>0.92008735616885695</v>
      </c>
      <c r="F37" s="170">
        <f t="shared" si="10"/>
        <v>4248882.4431004385</v>
      </c>
      <c r="G37" s="199">
        <f t="shared" si="1"/>
        <v>1.889138814402861E-3</v>
      </c>
      <c r="H37" s="108">
        <v>5351</v>
      </c>
      <c r="I37" s="172">
        <f t="shared" si="2"/>
        <v>9.2506762104279034E-4</v>
      </c>
      <c r="J37" s="173">
        <f t="shared" si="11"/>
        <v>7.8630747788637173E-4</v>
      </c>
      <c r="K37" s="170">
        <v>3428</v>
      </c>
      <c r="L37" s="174">
        <f t="shared" si="3"/>
        <v>5.3431925731493649E-2</v>
      </c>
      <c r="M37" s="173">
        <f t="shared" si="12"/>
        <v>8.0147888597240473E-3</v>
      </c>
      <c r="N37" s="199">
        <f t="shared" si="13"/>
        <v>8.8010963376104184E-3</v>
      </c>
      <c r="O37" s="175">
        <v>2081</v>
      </c>
      <c r="P37" s="175">
        <v>764</v>
      </c>
      <c r="Q37" s="176">
        <v>1.7755281664</v>
      </c>
      <c r="R37" s="177">
        <f t="shared" si="14"/>
        <v>7.1032566200213284E-4</v>
      </c>
      <c r="S37" s="178">
        <f t="shared" si="4"/>
        <v>1.2612032202015131E-3</v>
      </c>
      <c r="T37" s="178">
        <f t="shared" si="15"/>
        <v>6.5413242619134164E-4</v>
      </c>
      <c r="U37" s="176">
        <f t="shared" si="16"/>
        <v>5.5601256226264035E-4</v>
      </c>
      <c r="V37" s="177">
        <f t="shared" si="5"/>
        <v>2.7238219895287958</v>
      </c>
      <c r="W37" s="177">
        <f t="shared" si="17"/>
        <v>3.6194831977647418E-2</v>
      </c>
      <c r="X37" s="176">
        <f t="shared" si="18"/>
        <v>5.4292247966471127E-3</v>
      </c>
      <c r="Y37" s="171">
        <f t="shared" si="6"/>
        <v>5.9852373589097535E-3</v>
      </c>
      <c r="Z37" s="92">
        <f t="shared" si="7"/>
        <v>2692277.3222699375</v>
      </c>
      <c r="AA37" s="92">
        <f t="shared" si="8"/>
        <v>6271373.9986204496</v>
      </c>
      <c r="AB37" s="92">
        <f t="shared" si="9"/>
        <v>4264884.7948447354</v>
      </c>
      <c r="AC37" s="92">
        <f t="shared" si="19"/>
        <v>13228536.115735123</v>
      </c>
      <c r="AD37" s="211">
        <f t="shared" si="20"/>
        <v>4.6411528313314741E-3</v>
      </c>
      <c r="AF37" s="81"/>
    </row>
    <row r="38" spans="1:32">
      <c r="A38" s="85">
        <v>44</v>
      </c>
      <c r="B38" s="95" t="s">
        <v>22</v>
      </c>
      <c r="C38" s="170">
        <v>41096396</v>
      </c>
      <c r="D38" s="170">
        <v>11785569</v>
      </c>
      <c r="E38" s="171">
        <f t="shared" ref="E38:E57" si="21">+D38/C38</f>
        <v>0.28677865085785137</v>
      </c>
      <c r="F38" s="170">
        <f t="shared" si="10"/>
        <v>3379849.5774121163</v>
      </c>
      <c r="G38" s="199">
        <f t="shared" ref="G38:G56" si="22">+F38/F$57</f>
        <v>1.5027492779661738E-3</v>
      </c>
      <c r="H38" s="108">
        <v>84666</v>
      </c>
      <c r="I38" s="172">
        <f t="shared" ref="I38:I56" si="23">+H38/$H$57</f>
        <v>1.4636848290638924E-2</v>
      </c>
      <c r="J38" s="173">
        <f t="shared" si="11"/>
        <v>1.2441321047043085E-2</v>
      </c>
      <c r="K38" s="170">
        <v>2509.1999999999998</v>
      </c>
      <c r="L38" s="174">
        <f t="shared" ref="L38:L57" si="24">+K38/$K$57</f>
        <v>3.9110673292142316E-2</v>
      </c>
      <c r="M38" s="173">
        <f t="shared" si="12"/>
        <v>5.8666009938213469E-3</v>
      </c>
      <c r="N38" s="199">
        <f t="shared" si="13"/>
        <v>1.8307922040864431E-2</v>
      </c>
      <c r="O38" s="175">
        <v>25760</v>
      </c>
      <c r="P38" s="175">
        <v>21267</v>
      </c>
      <c r="Q38" s="176">
        <v>2.0486592371999999</v>
      </c>
      <c r="R38" s="177">
        <f t="shared" si="14"/>
        <v>1.9772900332198112E-2</v>
      </c>
      <c r="S38" s="178">
        <f t="shared" si="4"/>
        <v>4.0507934911792609E-2</v>
      </c>
      <c r="T38" s="178">
        <f t="shared" si="15"/>
        <v>2.1009741585989696E-2</v>
      </c>
      <c r="U38" s="176">
        <f t="shared" si="16"/>
        <v>1.7858280348091241E-2</v>
      </c>
      <c r="V38" s="177">
        <f t="shared" si="5"/>
        <v>1.2112662810927728</v>
      </c>
      <c r="W38" s="177">
        <f t="shared" si="17"/>
        <v>1.6095611127629923E-2</v>
      </c>
      <c r="X38" s="176">
        <f t="shared" si="18"/>
        <v>2.4143416691444885E-3</v>
      </c>
      <c r="Y38" s="171">
        <f t="shared" si="6"/>
        <v>2.0272622017235731E-2</v>
      </c>
      <c r="Z38" s="92">
        <f t="shared" ref="Z38:Z56" si="25">+G38*Z$4</f>
        <v>2141620.1770247873</v>
      </c>
      <c r="AA38" s="92">
        <f t="shared" ref="AA38:AA56" si="26">+N38*AA$4</f>
        <v>13045627.709492953</v>
      </c>
      <c r="AB38" s="92">
        <f t="shared" ref="AB38:AB56" si="27">+Y38*AB$4</f>
        <v>14445608.788469592</v>
      </c>
      <c r="AC38" s="92">
        <f t="shared" si="19"/>
        <v>29632856.674987331</v>
      </c>
      <c r="AD38" s="211">
        <f t="shared" si="20"/>
        <v>1.0396510653508126E-2</v>
      </c>
      <c r="AF38" s="81"/>
    </row>
    <row r="39" spans="1:32">
      <c r="A39" s="85">
        <v>46</v>
      </c>
      <c r="B39" s="95" t="s">
        <v>126</v>
      </c>
      <c r="C39" s="170">
        <v>2180024</v>
      </c>
      <c r="D39" s="170">
        <v>1410108</v>
      </c>
      <c r="E39" s="171">
        <f t="shared" si="21"/>
        <v>0.64683141103033726</v>
      </c>
      <c r="F39" s="170">
        <f t="shared" si="10"/>
        <v>912102.14734516677</v>
      </c>
      <c r="G39" s="199">
        <f t="shared" si="22"/>
        <v>4.055390075684474E-4</v>
      </c>
      <c r="H39" s="108">
        <v>5119</v>
      </c>
      <c r="I39" s="172">
        <f t="shared" si="23"/>
        <v>8.8496003590320376E-4</v>
      </c>
      <c r="J39" s="173">
        <f t="shared" si="11"/>
        <v>7.5221603051772322E-4</v>
      </c>
      <c r="K39" s="170">
        <v>264.89999999999998</v>
      </c>
      <c r="L39" s="174">
        <f t="shared" si="24"/>
        <v>4.1289723238835084E-3</v>
      </c>
      <c r="M39" s="173">
        <f t="shared" si="12"/>
        <v>6.1934584858252628E-4</v>
      </c>
      <c r="N39" s="199">
        <f t="shared" si="13"/>
        <v>1.3715618791002495E-3</v>
      </c>
      <c r="O39" s="175">
        <v>1318</v>
      </c>
      <c r="P39" s="175">
        <v>475</v>
      </c>
      <c r="Q39" s="176">
        <v>2.0058388967999998</v>
      </c>
      <c r="R39" s="177">
        <f t="shared" si="14"/>
        <v>4.4162917467410089E-4</v>
      </c>
      <c r="S39" s="178">
        <f t="shared" si="4"/>
        <v>8.8583697652299298E-4</v>
      </c>
      <c r="T39" s="178">
        <f t="shared" si="15"/>
        <v>4.5944593336068676E-4</v>
      </c>
      <c r="U39" s="176">
        <f t="shared" si="16"/>
        <v>3.9052904335658376E-4</v>
      </c>
      <c r="V39" s="177">
        <f t="shared" si="5"/>
        <v>2.7747368421052632</v>
      </c>
      <c r="W39" s="177">
        <f t="shared" si="17"/>
        <v>3.6871401350116108E-2</v>
      </c>
      <c r="X39" s="176">
        <f t="shared" si="18"/>
        <v>5.5307102025174163E-3</v>
      </c>
      <c r="Y39" s="171">
        <f t="shared" si="6"/>
        <v>5.921239245874E-3</v>
      </c>
      <c r="Z39" s="92">
        <f t="shared" si="25"/>
        <v>577947.72149525851</v>
      </c>
      <c r="AA39" s="92">
        <f t="shared" si="26"/>
        <v>977330.2297954075</v>
      </c>
      <c r="AB39" s="92">
        <f t="shared" si="27"/>
        <v>4219281.8282758938</v>
      </c>
      <c r="AC39" s="92">
        <f t="shared" si="19"/>
        <v>5774559.7795665599</v>
      </c>
      <c r="AD39" s="211">
        <f t="shared" si="20"/>
        <v>2.0259697850277861E-3</v>
      </c>
      <c r="AF39" s="81"/>
    </row>
    <row r="40" spans="1:32">
      <c r="A40" s="85">
        <v>49</v>
      </c>
      <c r="B40" s="95" t="s">
        <v>23</v>
      </c>
      <c r="C40" s="170">
        <v>788566</v>
      </c>
      <c r="D40" s="170">
        <v>317729</v>
      </c>
      <c r="E40" s="171">
        <f t="shared" si="21"/>
        <v>0.40291998386945416</v>
      </c>
      <c r="F40" s="170">
        <f t="shared" si="10"/>
        <v>128019.3635548578</v>
      </c>
      <c r="G40" s="199">
        <f t="shared" si="22"/>
        <v>5.6919990591727449E-5</v>
      </c>
      <c r="H40" s="108">
        <v>1483</v>
      </c>
      <c r="I40" s="172">
        <f t="shared" si="23"/>
        <v>2.5637736535347747E-4</v>
      </c>
      <c r="J40" s="173">
        <f t="shared" si="11"/>
        <v>2.1792076055045584E-4</v>
      </c>
      <c r="K40" s="170">
        <v>207.9</v>
      </c>
      <c r="L40" s="174">
        <f t="shared" si="24"/>
        <v>3.2405184829572727E-3</v>
      </c>
      <c r="M40" s="173">
        <f t="shared" si="12"/>
        <v>4.8607777244359088E-4</v>
      </c>
      <c r="N40" s="199">
        <f t="shared" si="13"/>
        <v>7.0399853299404674E-4</v>
      </c>
      <c r="O40" s="175">
        <v>35</v>
      </c>
      <c r="P40" s="175">
        <v>141</v>
      </c>
      <c r="Q40" s="176">
        <v>1.5774653305999999</v>
      </c>
      <c r="R40" s="177">
        <f t="shared" si="14"/>
        <v>1.3109413395589101E-4</v>
      </c>
      <c r="S40" s="178">
        <f t="shared" si="4"/>
        <v>2.0679645136045029E-4</v>
      </c>
      <c r="T40" s="178">
        <f t="shared" si="15"/>
        <v>1.072565168637593E-4</v>
      </c>
      <c r="U40" s="176">
        <f t="shared" si="16"/>
        <v>9.1168039334195411E-5</v>
      </c>
      <c r="V40" s="177">
        <f t="shared" si="5"/>
        <v>0.24822695035460993</v>
      </c>
      <c r="W40" s="177">
        <f t="shared" si="17"/>
        <v>3.2985021763346587E-3</v>
      </c>
      <c r="X40" s="176">
        <f t="shared" si="18"/>
        <v>4.9477532645019883E-4</v>
      </c>
      <c r="Y40" s="171">
        <f t="shared" si="6"/>
        <v>5.8594336578439421E-4</v>
      </c>
      <c r="Z40" s="92">
        <f t="shared" si="25"/>
        <v>81118.655064193954</v>
      </c>
      <c r="AA40" s="92">
        <f t="shared" si="26"/>
        <v>501646.37739717436</v>
      </c>
      <c r="AB40" s="92">
        <f t="shared" si="27"/>
        <v>417524.11834661372</v>
      </c>
      <c r="AC40" s="92">
        <f t="shared" si="19"/>
        <v>1000289.1508079821</v>
      </c>
      <c r="AD40" s="211">
        <f t="shared" si="20"/>
        <v>3.5094546999047397E-4</v>
      </c>
      <c r="AF40" s="81"/>
    </row>
    <row r="41" spans="1:32">
      <c r="A41" s="85">
        <v>48</v>
      </c>
      <c r="B41" s="95" t="s">
        <v>24</v>
      </c>
      <c r="C41" s="170">
        <v>949382</v>
      </c>
      <c r="D41" s="170">
        <v>96351</v>
      </c>
      <c r="E41" s="171">
        <f t="shared" si="21"/>
        <v>0.10148812595983492</v>
      </c>
      <c r="F41" s="170">
        <f t="shared" si="10"/>
        <v>9778.4824243560543</v>
      </c>
      <c r="G41" s="199">
        <f t="shared" si="22"/>
        <v>4.3477104723865695E-6</v>
      </c>
      <c r="H41" s="108">
        <v>7652</v>
      </c>
      <c r="I41" s="172">
        <f t="shared" si="23"/>
        <v>1.322858799517741E-3</v>
      </c>
      <c r="J41" s="173">
        <f t="shared" si="11"/>
        <v>1.1244299795900798E-3</v>
      </c>
      <c r="K41" s="170">
        <v>997.9</v>
      </c>
      <c r="L41" s="174">
        <f t="shared" si="24"/>
        <v>1.5554176980005108E-2</v>
      </c>
      <c r="M41" s="173">
        <f t="shared" si="12"/>
        <v>2.3331265470007659E-3</v>
      </c>
      <c r="N41" s="199">
        <f t="shared" si="13"/>
        <v>3.4575565265908457E-3</v>
      </c>
      <c r="O41" s="175">
        <v>5295</v>
      </c>
      <c r="P41" s="175">
        <v>4705</v>
      </c>
      <c r="Q41" s="176">
        <v>2.7540316573000001</v>
      </c>
      <c r="R41" s="177">
        <f t="shared" si="14"/>
        <v>4.3744531933508314E-3</v>
      </c>
      <c r="S41" s="178">
        <f t="shared" si="4"/>
        <v>1.2047382577865268E-2</v>
      </c>
      <c r="T41" s="178">
        <f t="shared" si="15"/>
        <v>6.2484645366312659E-3</v>
      </c>
      <c r="U41" s="176">
        <f t="shared" si="16"/>
        <v>5.3111948561365757E-3</v>
      </c>
      <c r="V41" s="177">
        <f t="shared" si="5"/>
        <v>1.1253985122210415</v>
      </c>
      <c r="W41" s="177">
        <f t="shared" si="17"/>
        <v>1.4954578608413996E-2</v>
      </c>
      <c r="X41" s="176">
        <f t="shared" si="18"/>
        <v>2.2431867912620991E-3</v>
      </c>
      <c r="Y41" s="171">
        <f t="shared" si="6"/>
        <v>7.5543816473986752E-3</v>
      </c>
      <c r="Z41" s="92">
        <f t="shared" si="25"/>
        <v>6196.0731627346267</v>
      </c>
      <c r="AA41" s="92">
        <f t="shared" si="26"/>
        <v>2463741.9325771835</v>
      </c>
      <c r="AB41" s="92">
        <f t="shared" si="27"/>
        <v>5383005.8008448863</v>
      </c>
      <c r="AC41" s="92">
        <f t="shared" si="19"/>
        <v>7852943.8065848043</v>
      </c>
      <c r="AD41" s="211">
        <f t="shared" si="20"/>
        <v>2.7551583987335732E-3</v>
      </c>
      <c r="AF41" s="81"/>
    </row>
    <row r="42" spans="1:32">
      <c r="A42" s="85">
        <v>47</v>
      </c>
      <c r="B42" s="95" t="s">
        <v>25</v>
      </c>
      <c r="C42" s="170">
        <v>5025616</v>
      </c>
      <c r="D42" s="170">
        <v>1093658</v>
      </c>
      <c r="E42" s="171">
        <f t="shared" si="21"/>
        <v>0.21761670609135278</v>
      </c>
      <c r="F42" s="170">
        <f t="shared" si="10"/>
        <v>237998.25155045668</v>
      </c>
      <c r="G42" s="199">
        <f t="shared" si="22"/>
        <v>1.0581882195730952E-4</v>
      </c>
      <c r="H42" s="108">
        <v>6048</v>
      </c>
      <c r="I42" s="172">
        <f t="shared" si="23"/>
        <v>1.0455632539837032E-3</v>
      </c>
      <c r="J42" s="173">
        <f t="shared" si="11"/>
        <v>8.8872876588614767E-4</v>
      </c>
      <c r="K42" s="170">
        <v>3860</v>
      </c>
      <c r="L42" s="174">
        <f t="shared" si="24"/>
        <v>6.0165470631145121E-2</v>
      </c>
      <c r="M42" s="173">
        <f t="shared" si="12"/>
        <v>9.0248205946717678E-3</v>
      </c>
      <c r="N42" s="199">
        <f t="shared" si="13"/>
        <v>9.9135493605579158E-3</v>
      </c>
      <c r="O42" s="175">
        <v>1618</v>
      </c>
      <c r="P42" s="175">
        <v>916</v>
      </c>
      <c r="Q42" s="176">
        <v>2.0422796606000002</v>
      </c>
      <c r="R42" s="177">
        <f t="shared" si="14"/>
        <v>8.5164699789784515E-4</v>
      </c>
      <c r="S42" s="178">
        <f t="shared" si="4"/>
        <v>1.7393013418178203E-3</v>
      </c>
      <c r="T42" s="178">
        <f t="shared" si="15"/>
        <v>9.0210157124349997E-4</v>
      </c>
      <c r="U42" s="176">
        <f t="shared" si="16"/>
        <v>7.6678633555697499E-4</v>
      </c>
      <c r="V42" s="177">
        <f t="shared" si="5"/>
        <v>1.7663755458515285</v>
      </c>
      <c r="W42" s="177">
        <f t="shared" si="17"/>
        <v>2.3472042716925653E-2</v>
      </c>
      <c r="X42" s="176">
        <f t="shared" si="18"/>
        <v>3.5208064075388477E-3</v>
      </c>
      <c r="Y42" s="171">
        <f t="shared" si="6"/>
        <v>4.2875927430958225E-3</v>
      </c>
      <c r="Z42" s="92">
        <f t="shared" si="25"/>
        <v>150806.07759098778</v>
      </c>
      <c r="AA42" s="92">
        <f t="shared" si="26"/>
        <v>7064071.7143568359</v>
      </c>
      <c r="AB42" s="92">
        <f t="shared" si="27"/>
        <v>3055198.6496065916</v>
      </c>
      <c r="AC42" s="92">
        <f t="shared" si="19"/>
        <v>10270076.441554416</v>
      </c>
      <c r="AD42" s="211">
        <f t="shared" si="20"/>
        <v>3.6031949368920896E-3</v>
      </c>
      <c r="AF42" s="81"/>
    </row>
    <row r="43" spans="1:32">
      <c r="A43" s="85">
        <v>45</v>
      </c>
      <c r="B43" s="95" t="s">
        <v>26</v>
      </c>
      <c r="C43" s="170">
        <v>69529815</v>
      </c>
      <c r="D43" s="170">
        <v>28068740.920000002</v>
      </c>
      <c r="E43" s="171">
        <f t="shared" si="21"/>
        <v>0.40369359417970552</v>
      </c>
      <c r="F43" s="170">
        <f t="shared" si="10"/>
        <v>11331170.906093774</v>
      </c>
      <c r="G43" s="199">
        <f t="shared" si="22"/>
        <v>5.0380670818734085E-3</v>
      </c>
      <c r="H43" s="108">
        <v>67428</v>
      </c>
      <c r="I43" s="172">
        <f t="shared" si="23"/>
        <v>1.1656785563758786E-2</v>
      </c>
      <c r="J43" s="173">
        <f t="shared" si="11"/>
        <v>9.9082677291949667E-3</v>
      </c>
      <c r="K43" s="170">
        <v>1869</v>
      </c>
      <c r="L43" s="174">
        <f t="shared" si="24"/>
        <v>2.913193383668659E-2</v>
      </c>
      <c r="M43" s="173">
        <f t="shared" si="12"/>
        <v>4.3697900755029885E-3</v>
      </c>
      <c r="N43" s="199">
        <f t="shared" si="13"/>
        <v>1.4278057804697954E-2</v>
      </c>
      <c r="O43" s="175">
        <v>15090</v>
      </c>
      <c r="P43" s="175">
        <v>11157</v>
      </c>
      <c r="Q43" s="176">
        <v>1.7986407321</v>
      </c>
      <c r="R43" s="177">
        <f t="shared" si="14"/>
        <v>1.037317200387146E-2</v>
      </c>
      <c r="S43" s="178">
        <f t="shared" si="4"/>
        <v>1.8657609687242588E-2</v>
      </c>
      <c r="T43" s="178">
        <f t="shared" si="15"/>
        <v>9.6769079686436638E-3</v>
      </c>
      <c r="U43" s="176">
        <f t="shared" si="16"/>
        <v>8.2253717733471142E-3</v>
      </c>
      <c r="V43" s="177">
        <f t="shared" si="5"/>
        <v>1.352514116698037</v>
      </c>
      <c r="W43" s="177">
        <f t="shared" si="17"/>
        <v>1.7972547908591634E-2</v>
      </c>
      <c r="X43" s="176">
        <f t="shared" si="18"/>
        <v>2.695882186288745E-3</v>
      </c>
      <c r="Y43" s="171">
        <f t="shared" si="6"/>
        <v>1.0921253959635859E-2</v>
      </c>
      <c r="Z43" s="92">
        <f t="shared" si="25"/>
        <v>7179924.3386409758</v>
      </c>
      <c r="AA43" s="92">
        <f t="shared" si="26"/>
        <v>10174077.982140837</v>
      </c>
      <c r="AB43" s="92">
        <f t="shared" si="27"/>
        <v>7782129.1220392417</v>
      </c>
      <c r="AC43" s="92">
        <f t="shared" si="19"/>
        <v>25136131.442821056</v>
      </c>
      <c r="AD43" s="211">
        <f t="shared" si="20"/>
        <v>8.8188614820201572E-3</v>
      </c>
      <c r="AF43" s="81"/>
    </row>
    <row r="44" spans="1:32">
      <c r="A44" s="85">
        <v>70</v>
      </c>
      <c r="B44" s="95" t="s">
        <v>27</v>
      </c>
      <c r="C44" s="170">
        <v>3189584504</v>
      </c>
      <c r="D44" s="170">
        <v>1506484865.6099999</v>
      </c>
      <c r="E44" s="171">
        <f t="shared" si="21"/>
        <v>0.47231382762260871</v>
      </c>
      <c r="F44" s="170">
        <f t="shared" si="10"/>
        <v>711533633.13179028</v>
      </c>
      <c r="G44" s="199">
        <f t="shared" si="22"/>
        <v>0.31636220161494721</v>
      </c>
      <c r="H44" s="108">
        <v>1142994</v>
      </c>
      <c r="I44" s="172">
        <f t="shared" si="23"/>
        <v>0.19759797055619194</v>
      </c>
      <c r="J44" s="173">
        <f t="shared" si="11"/>
        <v>0.16795827497276314</v>
      </c>
      <c r="K44" s="170">
        <v>324.39999999999998</v>
      </c>
      <c r="L44" s="174">
        <f t="shared" si="24"/>
        <v>5.0563934385345795E-3</v>
      </c>
      <c r="M44" s="173">
        <f t="shared" si="12"/>
        <v>7.584590157801869E-4</v>
      </c>
      <c r="N44" s="199">
        <f t="shared" si="13"/>
        <v>0.16871673398854334</v>
      </c>
      <c r="O44" s="175">
        <v>182930</v>
      </c>
      <c r="P44" s="175">
        <v>207064</v>
      </c>
      <c r="Q44" s="176">
        <v>1.9809358914999999</v>
      </c>
      <c r="R44" s="177">
        <f t="shared" si="14"/>
        <v>0.19251684931519586</v>
      </c>
      <c r="S44" s="178">
        <f t="shared" si="4"/>
        <v>0.38136353652696864</v>
      </c>
      <c r="T44" s="178">
        <f t="shared" si="15"/>
        <v>0.19779703335156221</v>
      </c>
      <c r="U44" s="176">
        <f t="shared" si="16"/>
        <v>0.16812747834882788</v>
      </c>
      <c r="V44" s="177">
        <f t="shared" si="5"/>
        <v>0.8834466638334042</v>
      </c>
      <c r="W44" s="177">
        <f t="shared" si="17"/>
        <v>1.1739461565986884E-2</v>
      </c>
      <c r="X44" s="176">
        <f t="shared" si="18"/>
        <v>1.7609192348980326E-3</v>
      </c>
      <c r="Y44" s="171">
        <f t="shared" si="6"/>
        <v>0.16988839758372593</v>
      </c>
      <c r="Z44" s="92">
        <f t="shared" si="25"/>
        <v>450858758.78344995</v>
      </c>
      <c r="AA44" s="92">
        <f t="shared" si="26"/>
        <v>120222038.03704688</v>
      </c>
      <c r="AB44" s="92">
        <f t="shared" si="27"/>
        <v>121056927.27403407</v>
      </c>
      <c r="AC44" s="92">
        <f t="shared" si="19"/>
        <v>692137724.09453082</v>
      </c>
      <c r="AD44" s="211">
        <f t="shared" si="20"/>
        <v>0.24283238370054089</v>
      </c>
      <c r="AF44" s="81"/>
    </row>
    <row r="45" spans="1:32">
      <c r="A45" s="85">
        <v>50</v>
      </c>
      <c r="B45" s="95" t="s">
        <v>127</v>
      </c>
      <c r="C45" s="170">
        <v>1496653</v>
      </c>
      <c r="D45" s="170">
        <v>568300</v>
      </c>
      <c r="E45" s="171">
        <f t="shared" si="21"/>
        <v>0.37971393502702361</v>
      </c>
      <c r="F45" s="170">
        <f t="shared" si="10"/>
        <v>215791.42927585752</v>
      </c>
      <c r="G45" s="199">
        <f t="shared" si="22"/>
        <v>9.5945220965685287E-5</v>
      </c>
      <c r="H45" s="108">
        <v>906</v>
      </c>
      <c r="I45" s="172">
        <f t="shared" si="23"/>
        <v>1.5662703507097141E-4</v>
      </c>
      <c r="J45" s="173">
        <f t="shared" si="11"/>
        <v>1.331329798103257E-4</v>
      </c>
      <c r="K45" s="170">
        <v>1171.2</v>
      </c>
      <c r="L45" s="174">
        <f t="shared" si="24"/>
        <v>1.8255388394610668E-2</v>
      </c>
      <c r="M45" s="173">
        <f t="shared" si="12"/>
        <v>2.7383082591916001E-3</v>
      </c>
      <c r="N45" s="199">
        <f t="shared" si="13"/>
        <v>2.8714412390019256E-3</v>
      </c>
      <c r="O45" s="175">
        <v>133</v>
      </c>
      <c r="P45" s="175">
        <v>63</v>
      </c>
      <c r="Q45" s="176">
        <v>1.7977681072</v>
      </c>
      <c r="R45" s="177">
        <f t="shared" si="14"/>
        <v>5.8573974746249173E-5</v>
      </c>
      <c r="S45" s="178">
        <f t="shared" si="4"/>
        <v>1.0530242371074497E-4</v>
      </c>
      <c r="T45" s="178">
        <f t="shared" si="15"/>
        <v>5.4615884896592997E-5</v>
      </c>
      <c r="U45" s="176">
        <f t="shared" si="16"/>
        <v>4.6423502162104046E-5</v>
      </c>
      <c r="V45" s="177">
        <f t="shared" si="5"/>
        <v>2.1111111111111112</v>
      </c>
      <c r="W45" s="177">
        <f t="shared" si="17"/>
        <v>2.8052975652065243E-2</v>
      </c>
      <c r="X45" s="176">
        <f t="shared" si="18"/>
        <v>4.2079463478097859E-3</v>
      </c>
      <c r="Y45" s="171">
        <f t="shared" si="6"/>
        <v>4.2543698499718898E-3</v>
      </c>
      <c r="Z45" s="92">
        <f t="shared" si="25"/>
        <v>136734.86596999617</v>
      </c>
      <c r="AA45" s="92">
        <f t="shared" si="26"/>
        <v>2046095.3083638754</v>
      </c>
      <c r="AB45" s="92">
        <f t="shared" si="27"/>
        <v>3031525.1003004666</v>
      </c>
      <c r="AC45" s="92">
        <f t="shared" si="19"/>
        <v>5214355.274634338</v>
      </c>
      <c r="AD45" s="211">
        <f t="shared" si="20"/>
        <v>1.8294253827262964E-3</v>
      </c>
      <c r="AF45" s="81"/>
    </row>
    <row r="46" spans="1:32">
      <c r="A46" s="85">
        <v>51</v>
      </c>
      <c r="B46" s="95" t="s">
        <v>128</v>
      </c>
      <c r="C46" s="170">
        <v>139111120</v>
      </c>
      <c r="D46" s="170">
        <v>39549681.400000006</v>
      </c>
      <c r="E46" s="171">
        <f t="shared" si="21"/>
        <v>0.28430280339918196</v>
      </c>
      <c r="F46" s="170">
        <f t="shared" si="10"/>
        <v>11244085.295564486</v>
      </c>
      <c r="G46" s="199">
        <f t="shared" si="22"/>
        <v>4.9993470633202947E-3</v>
      </c>
      <c r="H46" s="108">
        <v>147624</v>
      </c>
      <c r="I46" s="172">
        <f t="shared" si="23"/>
        <v>2.5520871330372057E-2</v>
      </c>
      <c r="J46" s="173">
        <f t="shared" si="11"/>
        <v>2.1692740630816248E-2</v>
      </c>
      <c r="K46" s="170">
        <v>322.8</v>
      </c>
      <c r="L46" s="174">
        <f t="shared" si="24"/>
        <v>5.0314543833506857E-3</v>
      </c>
      <c r="M46" s="173">
        <f t="shared" si="12"/>
        <v>7.5471815750260279E-4</v>
      </c>
      <c r="N46" s="199">
        <f t="shared" si="13"/>
        <v>2.2447458788318851E-2</v>
      </c>
      <c r="O46" s="175">
        <v>19678</v>
      </c>
      <c r="P46" s="175">
        <v>32877</v>
      </c>
      <c r="Q46" s="176">
        <v>1.8363293522999999</v>
      </c>
      <c r="R46" s="177">
        <f t="shared" si="14"/>
        <v>3.0567247106864034E-2</v>
      </c>
      <c r="S46" s="178">
        <f t="shared" si="4"/>
        <v>5.6131533081341681E-2</v>
      </c>
      <c r="T46" s="178">
        <f t="shared" si="15"/>
        <v>2.9113036925540778E-2</v>
      </c>
      <c r="U46" s="176">
        <f t="shared" si="16"/>
        <v>2.474608138670966E-2</v>
      </c>
      <c r="V46" s="177">
        <f t="shared" si="5"/>
        <v>0.59853392949478357</v>
      </c>
      <c r="W46" s="177">
        <f t="shared" si="17"/>
        <v>7.953469461024678E-3</v>
      </c>
      <c r="X46" s="176">
        <f t="shared" si="18"/>
        <v>1.1930204191537017E-3</v>
      </c>
      <c r="Y46" s="171">
        <f t="shared" si="6"/>
        <v>2.5939101805863361E-2</v>
      </c>
      <c r="Z46" s="92">
        <f t="shared" si="25"/>
        <v>7124743.095699138</v>
      </c>
      <c r="AA46" s="92">
        <f t="shared" si="26"/>
        <v>15995326.488880256</v>
      </c>
      <c r="AB46" s="92">
        <f t="shared" si="27"/>
        <v>18483357.342390791</v>
      </c>
      <c r="AC46" s="92">
        <f t="shared" si="19"/>
        <v>41603426.926970184</v>
      </c>
      <c r="AD46" s="211">
        <f t="shared" si="20"/>
        <v>1.45963136802057E-2</v>
      </c>
      <c r="AF46" s="81"/>
    </row>
    <row r="47" spans="1:32">
      <c r="A47" s="85">
        <v>52</v>
      </c>
      <c r="B47" s="95" t="s">
        <v>129</v>
      </c>
      <c r="C47" s="170">
        <v>9180989</v>
      </c>
      <c r="D47" s="170">
        <v>2226956.71</v>
      </c>
      <c r="E47" s="171">
        <f t="shared" si="21"/>
        <v>0.24256174470963857</v>
      </c>
      <c r="F47" s="170">
        <f t="shared" si="10"/>
        <v>540174.50497043657</v>
      </c>
      <c r="G47" s="199">
        <f t="shared" si="22"/>
        <v>2.4017247771766141E-4</v>
      </c>
      <c r="H47" s="108">
        <v>5389</v>
      </c>
      <c r="I47" s="172">
        <f t="shared" si="23"/>
        <v>9.3163696688461914E-4</v>
      </c>
      <c r="J47" s="173">
        <f t="shared" si="11"/>
        <v>7.918914218519263E-4</v>
      </c>
      <c r="K47" s="170">
        <v>1341</v>
      </c>
      <c r="L47" s="174">
        <f t="shared" si="24"/>
        <v>2.0902045626001453E-2</v>
      </c>
      <c r="M47" s="173">
        <f t="shared" si="12"/>
        <v>3.135306843900218E-3</v>
      </c>
      <c r="N47" s="199">
        <f t="shared" si="13"/>
        <v>3.927198265752144E-3</v>
      </c>
      <c r="O47" s="175">
        <v>1611</v>
      </c>
      <c r="P47" s="175">
        <v>1054</v>
      </c>
      <c r="Q47" s="176">
        <v>2.1403267704000002</v>
      </c>
      <c r="R47" s="177">
        <f t="shared" si="14"/>
        <v>9.7995189496105769E-4</v>
      </c>
      <c r="S47" s="178">
        <f t="shared" si="4"/>
        <v>2.0974172744893608E-3</v>
      </c>
      <c r="T47" s="178">
        <f t="shared" si="15"/>
        <v>1.0878410620281658E-3</v>
      </c>
      <c r="U47" s="176">
        <f t="shared" si="16"/>
        <v>9.2466490272394091E-4</v>
      </c>
      <c r="V47" s="177">
        <f t="shared" si="5"/>
        <v>1.5284629981024669</v>
      </c>
      <c r="W47" s="177">
        <f t="shared" si="17"/>
        <v>2.0310600917771596E-2</v>
      </c>
      <c r="X47" s="176">
        <f t="shared" si="18"/>
        <v>3.0465901376657395E-3</v>
      </c>
      <c r="Y47" s="171">
        <f t="shared" si="6"/>
        <v>3.9712550403896802E-3</v>
      </c>
      <c r="Z47" s="92">
        <f t="shared" si="25"/>
        <v>342278.13766932173</v>
      </c>
      <c r="AA47" s="92">
        <f t="shared" si="26"/>
        <v>2798393.3076628847</v>
      </c>
      <c r="AB47" s="92">
        <f t="shared" si="27"/>
        <v>2829786.7273376817</v>
      </c>
      <c r="AC47" s="92">
        <f t="shared" si="19"/>
        <v>5970458.1726698875</v>
      </c>
      <c r="AD47" s="211">
        <f t="shared" si="20"/>
        <v>2.0946995653942867E-3</v>
      </c>
      <c r="AF47" s="81"/>
    </row>
    <row r="48" spans="1:32">
      <c r="A48" s="85">
        <v>53</v>
      </c>
      <c r="B48" s="95" t="s">
        <v>28</v>
      </c>
      <c r="C48" s="170">
        <v>1323551</v>
      </c>
      <c r="D48" s="170">
        <v>283437</v>
      </c>
      <c r="E48" s="171">
        <f t="shared" si="21"/>
        <v>0.21414890699338371</v>
      </c>
      <c r="F48" s="170">
        <f t="shared" si="10"/>
        <v>60697.723751483696</v>
      </c>
      <c r="G48" s="199">
        <f t="shared" si="22"/>
        <v>2.6987431970736617E-5</v>
      </c>
      <c r="H48" s="108">
        <v>2377</v>
      </c>
      <c r="I48" s="172">
        <f t="shared" si="23"/>
        <v>4.1092987015860824E-4</v>
      </c>
      <c r="J48" s="173">
        <f t="shared" si="11"/>
        <v>3.4929038963481702E-4</v>
      </c>
      <c r="K48" s="170">
        <v>683.1</v>
      </c>
      <c r="L48" s="174">
        <f t="shared" si="24"/>
        <v>1.0647417872573894E-2</v>
      </c>
      <c r="M48" s="173">
        <f t="shared" si="12"/>
        <v>1.5971126808860842E-3</v>
      </c>
      <c r="N48" s="199">
        <f t="shared" si="13"/>
        <v>1.9464030705209012E-3</v>
      </c>
      <c r="O48" s="175">
        <v>1875</v>
      </c>
      <c r="P48" s="175">
        <v>790</v>
      </c>
      <c r="Q48" s="176">
        <v>2.1956719391999999</v>
      </c>
      <c r="R48" s="177">
        <f t="shared" si="14"/>
        <v>7.3449904840534679E-4</v>
      </c>
      <c r="S48" s="178">
        <f t="shared" si="4"/>
        <v>1.6127189499527224E-3</v>
      </c>
      <c r="T48" s="178">
        <f t="shared" si="15"/>
        <v>8.3644867266416574E-4</v>
      </c>
      <c r="U48" s="176">
        <f t="shared" si="16"/>
        <v>7.1098137176454088E-4</v>
      </c>
      <c r="V48" s="177">
        <f t="shared" si="5"/>
        <v>2.3734177215189876</v>
      </c>
      <c r="W48" s="177">
        <f t="shared" si="17"/>
        <v>3.1538571893977414E-2</v>
      </c>
      <c r="X48" s="176">
        <f t="shared" si="18"/>
        <v>4.7307857840966118E-3</v>
      </c>
      <c r="Y48" s="171">
        <f t="shared" si="6"/>
        <v>5.4417671558611522E-3</v>
      </c>
      <c r="Z48" s="92">
        <f t="shared" si="25"/>
        <v>38460.726404630717</v>
      </c>
      <c r="AA48" s="92">
        <f t="shared" si="26"/>
        <v>1386943.301044924</v>
      </c>
      <c r="AB48" s="92">
        <f t="shared" si="27"/>
        <v>3877625.6660179095</v>
      </c>
      <c r="AC48" s="92">
        <f t="shared" si="19"/>
        <v>5303029.6934674643</v>
      </c>
      <c r="AD48" s="211">
        <f t="shared" si="20"/>
        <v>1.8605362725808816E-3</v>
      </c>
      <c r="AF48" s="81"/>
    </row>
    <row r="49" spans="1:32">
      <c r="A49" s="85">
        <v>54</v>
      </c>
      <c r="B49" s="95" t="s">
        <v>29</v>
      </c>
      <c r="C49" s="170">
        <v>19167200</v>
      </c>
      <c r="D49" s="170">
        <v>8759498.2199999988</v>
      </c>
      <c r="E49" s="171">
        <f t="shared" si="21"/>
        <v>0.45700458178555026</v>
      </c>
      <c r="F49" s="170">
        <f t="shared" si="10"/>
        <v>4003130.8206823715</v>
      </c>
      <c r="G49" s="199">
        <f t="shared" si="22"/>
        <v>1.7798726874083768E-3</v>
      </c>
      <c r="H49" s="108">
        <v>34709</v>
      </c>
      <c r="I49" s="172">
        <f t="shared" si="23"/>
        <v>6.0004059164220159E-3</v>
      </c>
      <c r="J49" s="173">
        <f t="shared" si="11"/>
        <v>5.1003450289587131E-3</v>
      </c>
      <c r="K49" s="170">
        <v>1541.5</v>
      </c>
      <c r="L49" s="174">
        <f t="shared" si="24"/>
        <v>2.4027220978733214E-2</v>
      </c>
      <c r="M49" s="173">
        <f t="shared" si="12"/>
        <v>3.6040831468099818E-3</v>
      </c>
      <c r="N49" s="199">
        <f t="shared" si="13"/>
        <v>8.7044281757686949E-3</v>
      </c>
      <c r="O49" s="175">
        <v>9838</v>
      </c>
      <c r="P49" s="175">
        <v>7575</v>
      </c>
      <c r="Q49" s="176">
        <v>1.6303971907999999</v>
      </c>
      <c r="R49" s="177">
        <f t="shared" si="14"/>
        <v>7.0428231540132936E-3</v>
      </c>
      <c r="S49" s="178">
        <f t="shared" si="4"/>
        <v>1.1482599085604469E-2</v>
      </c>
      <c r="T49" s="178">
        <f t="shared" si="15"/>
        <v>5.9555353796581761E-3</v>
      </c>
      <c r="U49" s="176">
        <f t="shared" si="16"/>
        <v>5.0622050727094497E-3</v>
      </c>
      <c r="V49" s="177">
        <f t="shared" si="5"/>
        <v>1.2987458745874587</v>
      </c>
      <c r="W49" s="177">
        <f t="shared" si="17"/>
        <v>1.7258061978010494E-2</v>
      </c>
      <c r="X49" s="176">
        <f t="shared" si="18"/>
        <v>2.5887092967015741E-3</v>
      </c>
      <c r="Y49" s="171">
        <f t="shared" si="6"/>
        <v>7.6509143694110243E-3</v>
      </c>
      <c r="Z49" s="92">
        <f t="shared" si="25"/>
        <v>2536558.370567332</v>
      </c>
      <c r="AA49" s="92">
        <f t="shared" si="26"/>
        <v>6202491.4215626437</v>
      </c>
      <c r="AB49" s="92">
        <f t="shared" si="27"/>
        <v>5451791.867900786</v>
      </c>
      <c r="AC49" s="92">
        <f t="shared" si="19"/>
        <v>14190841.66003076</v>
      </c>
      <c r="AD49" s="211">
        <f t="shared" si="20"/>
        <v>4.9787719799991173E-3</v>
      </c>
      <c r="AF49" s="81"/>
    </row>
    <row r="50" spans="1:32">
      <c r="A50" s="85">
        <v>55</v>
      </c>
      <c r="B50" s="95" t="s">
        <v>30</v>
      </c>
      <c r="C50" s="170">
        <v>190044354</v>
      </c>
      <c r="D50" s="170">
        <v>51569187</v>
      </c>
      <c r="E50" s="171">
        <f t="shared" si="21"/>
        <v>0.27135342836862181</v>
      </c>
      <c r="F50" s="170">
        <f t="shared" si="10"/>
        <v>13993475.690632563</v>
      </c>
      <c r="G50" s="199">
        <f t="shared" si="22"/>
        <v>6.2217814753864091E-3</v>
      </c>
      <c r="H50" s="108">
        <v>86766</v>
      </c>
      <c r="I50" s="172">
        <f t="shared" si="23"/>
        <v>1.4999891087161044E-2</v>
      </c>
      <c r="J50" s="173">
        <f t="shared" si="11"/>
        <v>1.2749907424086887E-2</v>
      </c>
      <c r="K50" s="170">
        <v>1667.4</v>
      </c>
      <c r="L50" s="174">
        <f t="shared" si="24"/>
        <v>2.5989612883515902E-2</v>
      </c>
      <c r="M50" s="173">
        <f t="shared" si="12"/>
        <v>3.8984419325273851E-3</v>
      </c>
      <c r="N50" s="199">
        <f t="shared" si="13"/>
        <v>1.6648349356614273E-2</v>
      </c>
      <c r="O50" s="175">
        <v>13606</v>
      </c>
      <c r="P50" s="175">
        <v>22970</v>
      </c>
      <c r="Q50" s="176">
        <v>1.9100372027999999</v>
      </c>
      <c r="R50" s="177">
        <f t="shared" si="14"/>
        <v>2.1356257141608628E-2</v>
      </c>
      <c r="S50" s="178">
        <f t="shared" si="4"/>
        <v>4.0791245653035664E-2</v>
      </c>
      <c r="T50" s="178">
        <f t="shared" si="15"/>
        <v>2.1156682808123412E-2</v>
      </c>
      <c r="U50" s="176">
        <f t="shared" si="16"/>
        <v>1.7983180386904898E-2</v>
      </c>
      <c r="V50" s="177">
        <f t="shared" si="5"/>
        <v>0.59233783195472356</v>
      </c>
      <c r="W50" s="177">
        <f t="shared" si="17"/>
        <v>7.8711341578214088E-3</v>
      </c>
      <c r="X50" s="176">
        <f t="shared" si="18"/>
        <v>1.1806701236732112E-3</v>
      </c>
      <c r="Y50" s="171">
        <f t="shared" si="6"/>
        <v>1.9163850510578111E-2</v>
      </c>
      <c r="Z50" s="92">
        <f t="shared" si="25"/>
        <v>8866876.8237641547</v>
      </c>
      <c r="AA50" s="92">
        <f t="shared" si="26"/>
        <v>11863070.38008949</v>
      </c>
      <c r="AB50" s="92">
        <f t="shared" si="27"/>
        <v>13655534.401083468</v>
      </c>
      <c r="AC50" s="92">
        <f t="shared" si="19"/>
        <v>34385481.604937114</v>
      </c>
      <c r="AD50" s="211">
        <f t="shared" si="20"/>
        <v>1.2063940704491301E-2</v>
      </c>
      <c r="AF50" s="81"/>
    </row>
    <row r="51" spans="1:32">
      <c r="A51" s="85">
        <v>58</v>
      </c>
      <c r="B51" s="95" t="s">
        <v>130</v>
      </c>
      <c r="C51" s="170">
        <v>653493426</v>
      </c>
      <c r="D51" s="170">
        <v>370595171.76999998</v>
      </c>
      <c r="E51" s="171">
        <f t="shared" si="21"/>
        <v>0.56709854609922272</v>
      </c>
      <c r="F51" s="170">
        <f t="shared" si="10"/>
        <v>210163983.1021587</v>
      </c>
      <c r="G51" s="199">
        <f t="shared" si="22"/>
        <v>9.3443144917438631E-2</v>
      </c>
      <c r="H51" s="108">
        <v>412199</v>
      </c>
      <c r="I51" s="172">
        <f t="shared" si="23"/>
        <v>7.125994175410523E-2</v>
      </c>
      <c r="J51" s="173">
        <f t="shared" si="11"/>
        <v>6.0570950490989442E-2</v>
      </c>
      <c r="K51" s="170">
        <v>60.1</v>
      </c>
      <c r="L51" s="174">
        <f t="shared" si="24"/>
        <v>9.3677326034503157E-4</v>
      </c>
      <c r="M51" s="173">
        <f t="shared" si="12"/>
        <v>1.4051598905175474E-4</v>
      </c>
      <c r="N51" s="199">
        <f t="shared" si="13"/>
        <v>6.07114664800412E-2</v>
      </c>
      <c r="O51" s="175">
        <v>47668</v>
      </c>
      <c r="P51" s="175">
        <v>40796</v>
      </c>
      <c r="Q51" s="176">
        <v>1.7340616191</v>
      </c>
      <c r="R51" s="177">
        <f t="shared" si="14"/>
        <v>3.7929902757904463E-2</v>
      </c>
      <c r="S51" s="178">
        <f t="shared" si="4"/>
        <v>6.5772788588677369E-2</v>
      </c>
      <c r="T51" s="178">
        <f t="shared" si="15"/>
        <v>3.4113545769418024E-2</v>
      </c>
      <c r="U51" s="176">
        <f t="shared" si="16"/>
        <v>2.899651390400532E-2</v>
      </c>
      <c r="V51" s="177">
        <f t="shared" si="5"/>
        <v>1.1684478870477497</v>
      </c>
      <c r="W51" s="177">
        <f t="shared" si="17"/>
        <v>1.5526629533395704E-2</v>
      </c>
      <c r="X51" s="176">
        <f t="shared" si="18"/>
        <v>2.3289944300093554E-3</v>
      </c>
      <c r="Y51" s="171">
        <f t="shared" si="6"/>
        <v>3.1325508334014679E-2</v>
      </c>
      <c r="Z51" s="92">
        <f t="shared" si="25"/>
        <v>133169070.51233493</v>
      </c>
      <c r="AA51" s="92">
        <f t="shared" si="26"/>
        <v>43261009.503325477</v>
      </c>
      <c r="AB51" s="92">
        <f t="shared" si="27"/>
        <v>22321534.831971511</v>
      </c>
      <c r="AC51" s="92">
        <f t="shared" si="19"/>
        <v>198751614.84763193</v>
      </c>
      <c r="AD51" s="211">
        <f t="shared" si="20"/>
        <v>6.9730816162233297E-2</v>
      </c>
      <c r="AF51" s="81"/>
    </row>
    <row r="52" spans="1:32">
      <c r="A52" s="85">
        <v>31</v>
      </c>
      <c r="B52" s="95" t="s">
        <v>131</v>
      </c>
      <c r="C52" s="170">
        <v>1465567844</v>
      </c>
      <c r="D52" s="170">
        <v>926422237.18000007</v>
      </c>
      <c r="E52" s="171">
        <f t="shared" si="21"/>
        <v>0.63212511175975283</v>
      </c>
      <c r="F52" s="170">
        <f t="shared" si="10"/>
        <v>585614760.21412778</v>
      </c>
      <c r="G52" s="199">
        <f t="shared" si="22"/>
        <v>0.2603761315176451</v>
      </c>
      <c r="H52" s="108">
        <v>132169</v>
      </c>
      <c r="I52" s="172">
        <f t="shared" si="23"/>
        <v>2.2849049225491413E-2</v>
      </c>
      <c r="J52" s="173">
        <f t="shared" si="11"/>
        <v>1.9421691841667702E-2</v>
      </c>
      <c r="K52" s="170">
        <v>70.8</v>
      </c>
      <c r="L52" s="174">
        <f t="shared" si="24"/>
        <v>1.103553191887325E-3</v>
      </c>
      <c r="M52" s="173">
        <f t="shared" si="12"/>
        <v>1.6553297878309873E-4</v>
      </c>
      <c r="N52" s="199">
        <f t="shared" si="13"/>
        <v>1.9587224820450801E-2</v>
      </c>
      <c r="O52" s="175">
        <v>4761</v>
      </c>
      <c r="P52" s="175">
        <v>6438</v>
      </c>
      <c r="Q52" s="176">
        <v>1.903799258</v>
      </c>
      <c r="R52" s="177">
        <f t="shared" si="14"/>
        <v>5.9857023716881298E-3</v>
      </c>
      <c r="S52" s="178">
        <f t="shared" si="4"/>
        <v>1.1395575733828702E-2</v>
      </c>
      <c r="T52" s="178">
        <f t="shared" si="15"/>
        <v>5.91040007131089E-3</v>
      </c>
      <c r="U52" s="176">
        <f t="shared" si="16"/>
        <v>5.0238400606142566E-3</v>
      </c>
      <c r="V52" s="177">
        <f t="shared" si="5"/>
        <v>0.73951537744641194</v>
      </c>
      <c r="W52" s="177">
        <f t="shared" si="17"/>
        <v>9.8268664158151723E-3</v>
      </c>
      <c r="X52" s="176">
        <f t="shared" si="18"/>
        <v>1.4740299623722758E-3</v>
      </c>
      <c r="Y52" s="171">
        <f t="shared" si="6"/>
        <v>6.4978700229865322E-3</v>
      </c>
      <c r="Z52" s="92">
        <f t="shared" si="25"/>
        <v>371071066.24502426</v>
      </c>
      <c r="AA52" s="92">
        <f t="shared" si="26"/>
        <v>13957217.11614171</v>
      </c>
      <c r="AB52" s="92">
        <f t="shared" si="27"/>
        <v>4630170.0998806665</v>
      </c>
      <c r="AC52" s="92">
        <f t="shared" si="19"/>
        <v>389658453.4610467</v>
      </c>
      <c r="AD52" s="211">
        <f t="shared" si="20"/>
        <v>0.13670933946968192</v>
      </c>
      <c r="AF52" s="81"/>
    </row>
    <row r="53" spans="1:32">
      <c r="A53" s="85">
        <v>57</v>
      </c>
      <c r="B53" s="95" t="s">
        <v>31</v>
      </c>
      <c r="C53" s="170">
        <v>798708151</v>
      </c>
      <c r="D53" s="170">
        <v>224824552.09999999</v>
      </c>
      <c r="E53" s="171">
        <f t="shared" si="21"/>
        <v>0.28148523565023692</v>
      </c>
      <c r="F53" s="170">
        <f t="shared" si="10"/>
        <v>63284792.027827464</v>
      </c>
      <c r="G53" s="199">
        <f t="shared" si="22"/>
        <v>2.8137694695535613E-2</v>
      </c>
      <c r="H53" s="108">
        <v>306322</v>
      </c>
      <c r="I53" s="172">
        <f t="shared" si="23"/>
        <v>5.2956188341070756E-2</v>
      </c>
      <c r="J53" s="173">
        <f t="shared" si="11"/>
        <v>4.5012760089910141E-2</v>
      </c>
      <c r="K53" s="170">
        <v>915.8</v>
      </c>
      <c r="L53" s="174">
        <f t="shared" si="24"/>
        <v>1.4274491710881529E-2</v>
      </c>
      <c r="M53" s="173">
        <f t="shared" si="12"/>
        <v>2.1411737566322292E-3</v>
      </c>
      <c r="N53" s="199">
        <f t="shared" si="13"/>
        <v>4.7153933846542373E-2</v>
      </c>
      <c r="O53" s="175">
        <v>43432</v>
      </c>
      <c r="P53" s="175">
        <v>47092</v>
      </c>
      <c r="Q53" s="176">
        <v>1.8493369051999999</v>
      </c>
      <c r="R53" s="177">
        <f t="shared" si="14"/>
        <v>4.378358125000581E-2</v>
      </c>
      <c r="S53" s="178">
        <f t="shared" si="4"/>
        <v>8.0970592647458484E-2</v>
      </c>
      <c r="T53" s="178">
        <f t="shared" si="15"/>
        <v>4.1995999827981793E-2</v>
      </c>
      <c r="U53" s="176">
        <f t="shared" si="16"/>
        <v>3.5696599853784525E-2</v>
      </c>
      <c r="V53" s="177">
        <f t="shared" si="5"/>
        <v>0.92227979274611394</v>
      </c>
      <c r="W53" s="177">
        <f t="shared" si="17"/>
        <v>1.2255485954351926E-2</v>
      </c>
      <c r="X53" s="176">
        <f t="shared" si="18"/>
        <v>1.8383228931527888E-3</v>
      </c>
      <c r="Y53" s="171">
        <f t="shared" si="6"/>
        <v>3.7534922746937316E-2</v>
      </c>
      <c r="Z53" s="92">
        <f t="shared" si="25"/>
        <v>40100005.755104303</v>
      </c>
      <c r="AA53" s="92">
        <f t="shared" si="26"/>
        <v>33600354.241567746</v>
      </c>
      <c r="AB53" s="92">
        <f t="shared" si="27"/>
        <v>26746160.878780026</v>
      </c>
      <c r="AC53" s="92">
        <f t="shared" si="19"/>
        <v>100446520.87545207</v>
      </c>
      <c r="AD53" s="211">
        <f t="shared" si="20"/>
        <v>3.5241061496137725E-2</v>
      </c>
      <c r="AF53" s="81"/>
    </row>
    <row r="54" spans="1:32">
      <c r="A54" s="85">
        <v>56</v>
      </c>
      <c r="B54" s="95" t="s">
        <v>32</v>
      </c>
      <c r="C54" s="170">
        <v>279425467</v>
      </c>
      <c r="D54" s="170">
        <v>123875510.09999999</v>
      </c>
      <c r="E54" s="171">
        <f t="shared" si="21"/>
        <v>0.44332219045732146</v>
      </c>
      <c r="F54" s="170">
        <f t="shared" si="10"/>
        <v>54916762.481550045</v>
      </c>
      <c r="G54" s="199">
        <f t="shared" si="22"/>
        <v>2.4417100015018362E-2</v>
      </c>
      <c r="H54" s="108">
        <v>46784</v>
      </c>
      <c r="I54" s="172">
        <f t="shared" si="23"/>
        <v>8.0879019964242016E-3</v>
      </c>
      <c r="J54" s="173">
        <f t="shared" si="11"/>
        <v>6.8747166969605712E-3</v>
      </c>
      <c r="K54" s="170">
        <v>739.2</v>
      </c>
      <c r="L54" s="174">
        <f t="shared" si="24"/>
        <v>1.1521843494959192E-2</v>
      </c>
      <c r="M54" s="173">
        <f t="shared" si="12"/>
        <v>1.7282765242438787E-3</v>
      </c>
      <c r="N54" s="199">
        <f t="shared" si="13"/>
        <v>8.6029932212044503E-3</v>
      </c>
      <c r="O54" s="175">
        <v>7735</v>
      </c>
      <c r="P54" s="175">
        <v>5334</v>
      </c>
      <c r="Q54" s="176">
        <v>2.0438860060000001</v>
      </c>
      <c r="R54" s="177">
        <f t="shared" si="14"/>
        <v>4.9592631951824303E-3</v>
      </c>
      <c r="S54" s="178">
        <f t="shared" si="4"/>
        <v>1.0136168644704216E-2</v>
      </c>
      <c r="T54" s="178">
        <f t="shared" si="15"/>
        <v>5.2571992218554417E-3</v>
      </c>
      <c r="U54" s="176">
        <f t="shared" si="16"/>
        <v>4.4686193385771256E-3</v>
      </c>
      <c r="V54" s="177">
        <f t="shared" si="5"/>
        <v>1.4501312335958005</v>
      </c>
      <c r="W54" s="177">
        <f t="shared" si="17"/>
        <v>1.9269708720803205E-2</v>
      </c>
      <c r="X54" s="176">
        <f t="shared" si="18"/>
        <v>2.8904563081204805E-3</v>
      </c>
      <c r="Y54" s="171">
        <f t="shared" si="6"/>
        <v>7.3590756466976066E-3</v>
      </c>
      <c r="Z54" s="92">
        <f t="shared" si="25"/>
        <v>34797657.083134957</v>
      </c>
      <c r="AA54" s="92">
        <f t="shared" si="26"/>
        <v>6130212.1835900974</v>
      </c>
      <c r="AB54" s="92">
        <f t="shared" si="27"/>
        <v>5243837.1191731459</v>
      </c>
      <c r="AC54" s="92">
        <f t="shared" si="19"/>
        <v>46171706.385898203</v>
      </c>
      <c r="AD54" s="211">
        <f t="shared" si="20"/>
        <v>1.6199067224484696E-2</v>
      </c>
      <c r="AF54" s="81"/>
    </row>
    <row r="55" spans="1:32">
      <c r="A55" s="85">
        <v>59</v>
      </c>
      <c r="B55" s="95" t="s">
        <v>33</v>
      </c>
      <c r="C55" s="170">
        <v>4860175</v>
      </c>
      <c r="D55" s="170">
        <v>4276137</v>
      </c>
      <c r="E55" s="171">
        <f t="shared" si="21"/>
        <v>0.87983189905713277</v>
      </c>
      <c r="F55" s="170">
        <f t="shared" si="10"/>
        <v>3762281.7373384708</v>
      </c>
      <c r="G55" s="199">
        <f t="shared" si="22"/>
        <v>1.6727863281476819E-3</v>
      </c>
      <c r="H55" s="108">
        <v>1552</v>
      </c>
      <c r="I55" s="172">
        <f t="shared" si="23"/>
        <v>2.6830591438206137E-4</v>
      </c>
      <c r="J55" s="173">
        <f t="shared" si="11"/>
        <v>2.2806002722475217E-4</v>
      </c>
      <c r="K55" s="170">
        <v>1764.9</v>
      </c>
      <c r="L55" s="174">
        <f t="shared" si="24"/>
        <v>2.7509336558784465E-2</v>
      </c>
      <c r="M55" s="173">
        <f t="shared" si="12"/>
        <v>4.1264004838176696E-3</v>
      </c>
      <c r="N55" s="199">
        <f t="shared" si="13"/>
        <v>4.354460511042422E-3</v>
      </c>
      <c r="O55" s="175">
        <v>549</v>
      </c>
      <c r="P55" s="175">
        <v>170</v>
      </c>
      <c r="Q55" s="176">
        <v>2.1071899398</v>
      </c>
      <c r="R55" s="177">
        <f t="shared" si="14"/>
        <v>1.5805675725178347E-4</v>
      </c>
      <c r="S55" s="178">
        <f t="shared" si="4"/>
        <v>3.3305560879836883E-4</v>
      </c>
      <c r="T55" s="178">
        <f t="shared" si="15"/>
        <v>1.7274176750444833E-4</v>
      </c>
      <c r="U55" s="176">
        <f t="shared" si="16"/>
        <v>1.4683050237878107E-4</v>
      </c>
      <c r="V55" s="177">
        <f t="shared" si="5"/>
        <v>3.2294117647058824</v>
      </c>
      <c r="W55" s="177">
        <f t="shared" si="17"/>
        <v>4.2913236129057078E-2</v>
      </c>
      <c r="X55" s="176">
        <f t="shared" si="18"/>
        <v>6.4369854193585619E-3</v>
      </c>
      <c r="Y55" s="171">
        <f t="shared" si="6"/>
        <v>6.5838159217373425E-3</v>
      </c>
      <c r="Z55" s="92">
        <f t="shared" si="25"/>
        <v>2383945.8815517211</v>
      </c>
      <c r="AA55" s="92">
        <f t="shared" si="26"/>
        <v>3102846.4386046552</v>
      </c>
      <c r="AB55" s="92">
        <f t="shared" si="27"/>
        <v>4691412.3422147892</v>
      </c>
      <c r="AC55" s="92">
        <f t="shared" si="19"/>
        <v>10178204.662371166</v>
      </c>
      <c r="AD55" s="211">
        <f t="shared" si="20"/>
        <v>3.5709622722687822E-3</v>
      </c>
      <c r="AF55" s="81"/>
    </row>
    <row r="56" spans="1:32">
      <c r="A56" s="85">
        <v>60</v>
      </c>
      <c r="B56" s="95" t="s">
        <v>34</v>
      </c>
      <c r="C56" s="170">
        <v>3259973</v>
      </c>
      <c r="D56" s="170">
        <v>2184180</v>
      </c>
      <c r="E56" s="171">
        <f t="shared" si="21"/>
        <v>0.66999941410557695</v>
      </c>
      <c r="F56" s="170">
        <f t="shared" si="10"/>
        <v>1463399.320301119</v>
      </c>
      <c r="G56" s="199">
        <f t="shared" si="22"/>
        <v>6.5065684776495882E-4</v>
      </c>
      <c r="H56" s="108">
        <v>3573</v>
      </c>
      <c r="I56" s="172">
        <f t="shared" si="23"/>
        <v>6.1769138665406279E-4</v>
      </c>
      <c r="J56" s="173">
        <f t="shared" si="11"/>
        <v>5.2503767865595338E-4</v>
      </c>
      <c r="K56" s="170">
        <v>879.3</v>
      </c>
      <c r="L56" s="174">
        <f t="shared" si="24"/>
        <v>1.3705569514498939E-2</v>
      </c>
      <c r="M56" s="173">
        <f t="shared" si="12"/>
        <v>2.0558354271748409E-3</v>
      </c>
      <c r="N56" s="199">
        <f t="shared" si="13"/>
        <v>2.5808731058307942E-3</v>
      </c>
      <c r="O56" s="175">
        <v>1377</v>
      </c>
      <c r="P56" s="175">
        <v>417</v>
      </c>
      <c r="Q56" s="176">
        <v>1.7545098130000001</v>
      </c>
      <c r="R56" s="177">
        <f t="shared" si="14"/>
        <v>3.8770392808231595E-4</v>
      </c>
      <c r="S56" s="178">
        <f t="shared" si="4"/>
        <v>6.8023034635906966E-4</v>
      </c>
      <c r="T56" s="178">
        <f t="shared" si="15"/>
        <v>3.5280652610587192E-4</v>
      </c>
      <c r="U56" s="176">
        <f t="shared" si="16"/>
        <v>2.9988554718999113E-4</v>
      </c>
      <c r="V56" s="177">
        <f t="shared" si="5"/>
        <v>3.3021582733812949</v>
      </c>
      <c r="W56" s="177">
        <f t="shared" si="17"/>
        <v>4.3879910041151653E-2</v>
      </c>
      <c r="X56" s="176">
        <f t="shared" si="18"/>
        <v>6.5819865061727476E-3</v>
      </c>
      <c r="Y56" s="171">
        <f t="shared" si="6"/>
        <v>6.8818720533627385E-3</v>
      </c>
      <c r="Z56" s="92">
        <f t="shared" si="25"/>
        <v>927273.66695440689</v>
      </c>
      <c r="AA56" s="92">
        <f t="shared" si="26"/>
        <v>1839045.9402743678</v>
      </c>
      <c r="AB56" s="92">
        <f t="shared" si="27"/>
        <v>4903797.4136083396</v>
      </c>
      <c r="AC56" s="92">
        <f t="shared" si="19"/>
        <v>7670117.0208371142</v>
      </c>
      <c r="AD56" s="211">
        <f t="shared" si="20"/>
        <v>2.6910147136808625E-3</v>
      </c>
      <c r="AF56" s="81"/>
    </row>
    <row r="57" spans="1:32">
      <c r="B57" s="97" t="s">
        <v>35</v>
      </c>
      <c r="C57" s="188">
        <f>SUM(C6:C56)</f>
        <v>10985202637</v>
      </c>
      <c r="D57" s="188">
        <f>SUM(D6:D56)</f>
        <v>4767059233.4300003</v>
      </c>
      <c r="E57" s="189">
        <f t="shared" si="21"/>
        <v>0.43395278093221035</v>
      </c>
      <c r="F57" s="190">
        <f t="shared" ref="F57:K57" si="28">SUM(F6:F56)</f>
        <v>2249110764.4958692</v>
      </c>
      <c r="G57" s="200">
        <f t="shared" si="28"/>
        <v>1</v>
      </c>
      <c r="H57" s="117">
        <f t="shared" si="28"/>
        <v>5784442</v>
      </c>
      <c r="I57" s="191">
        <f t="shared" si="28"/>
        <v>1.0000000000000002</v>
      </c>
      <c r="J57" s="192">
        <f t="shared" si="28"/>
        <v>0.8500000000000002</v>
      </c>
      <c r="K57" s="193">
        <f t="shared" si="28"/>
        <v>64156.400000000016</v>
      </c>
      <c r="L57" s="194">
        <f t="shared" si="24"/>
        <v>1</v>
      </c>
      <c r="M57" s="192">
        <f>SUM(M6:M56)</f>
        <v>0.14999999999999997</v>
      </c>
      <c r="N57" s="200">
        <f>SUM(N6:N56)</f>
        <v>0.99999999999999989</v>
      </c>
      <c r="O57" s="195">
        <f>SUM(O6:O56)</f>
        <v>964355</v>
      </c>
      <c r="P57" s="195">
        <f t="shared" ref="P57:Y57" si="29">SUM(P6:P56)</f>
        <v>1075563</v>
      </c>
      <c r="Q57" s="196">
        <f t="shared" si="29"/>
        <v>98.366423307599987</v>
      </c>
      <c r="R57" s="196">
        <f>SUM(R6:R56)</f>
        <v>0.99999999999999989</v>
      </c>
      <c r="S57" s="197">
        <f t="shared" si="29"/>
        <v>1.9280548856824229</v>
      </c>
      <c r="T57" s="197">
        <f t="shared" si="29"/>
        <v>1</v>
      </c>
      <c r="U57" s="196">
        <f t="shared" si="29"/>
        <v>0.85</v>
      </c>
      <c r="V57" s="196">
        <f>SUM(V6:V56)</f>
        <v>75.254444922162563</v>
      </c>
      <c r="W57" s="196">
        <f t="shared" si="29"/>
        <v>1</v>
      </c>
      <c r="X57" s="196">
        <f t="shared" si="29"/>
        <v>0.15</v>
      </c>
      <c r="Y57" s="196">
        <f t="shared" si="29"/>
        <v>0.99999999999999989</v>
      </c>
      <c r="Z57" s="119">
        <f t="shared" ref="Z57:AD57" si="30">SUM(Z6:Z56)</f>
        <v>1425134723.6867509</v>
      </c>
      <c r="AA57" s="119">
        <f t="shared" si="30"/>
        <v>712567361.84337533</v>
      </c>
      <c r="AB57" s="119">
        <f t="shared" si="30"/>
        <v>712567361.84337544</v>
      </c>
      <c r="AC57" s="119">
        <f t="shared" si="30"/>
        <v>2850269447.3735018</v>
      </c>
      <c r="AD57" s="212">
        <f t="shared" si="30"/>
        <v>1.0000000000000002</v>
      </c>
    </row>
    <row r="58" spans="1:32">
      <c r="L58" s="12"/>
      <c r="S58" s="14"/>
    </row>
    <row r="59" spans="1:32" ht="86.45" customHeight="1">
      <c r="C59" s="254" t="s">
        <v>164</v>
      </c>
      <c r="D59" s="254"/>
      <c r="E59" s="254"/>
      <c r="F59" s="254"/>
      <c r="G59" s="254"/>
      <c r="L59" s="12"/>
      <c r="S59" s="14"/>
    </row>
    <row r="60" spans="1:32">
      <c r="S60" s="15"/>
      <c r="T60" s="15"/>
    </row>
    <row r="61" spans="1:32">
      <c r="S61" s="14"/>
    </row>
    <row r="62" spans="1:32">
      <c r="S62" s="14"/>
    </row>
    <row r="63" spans="1:32">
      <c r="S63" s="14"/>
    </row>
    <row r="64" spans="1:32">
      <c r="J64" s="2"/>
      <c r="M64" s="2"/>
      <c r="N64" s="2"/>
      <c r="S64" s="14"/>
      <c r="Y64" s="2"/>
    </row>
    <row r="65" spans="10:25">
      <c r="J65" s="2"/>
      <c r="M65" s="2"/>
      <c r="N65" s="2"/>
      <c r="S65" s="14"/>
      <c r="Y65" s="2"/>
    </row>
    <row r="66" spans="10:25">
      <c r="J66" s="2"/>
      <c r="M66" s="2"/>
      <c r="N66" s="2"/>
      <c r="S66" s="14"/>
      <c r="Y66" s="2"/>
    </row>
    <row r="67" spans="10:25">
      <c r="J67" s="2"/>
      <c r="M67" s="2"/>
      <c r="N67" s="2"/>
      <c r="S67" s="14"/>
      <c r="Y67" s="2"/>
    </row>
    <row r="68" spans="10:25">
      <c r="J68" s="2"/>
      <c r="M68" s="2"/>
      <c r="N68" s="2"/>
      <c r="S68" s="14"/>
      <c r="Y68" s="2"/>
    </row>
    <row r="69" spans="10:25">
      <c r="J69" s="2"/>
      <c r="M69" s="2"/>
      <c r="N69" s="2"/>
      <c r="S69" s="14"/>
      <c r="Y69" s="2"/>
    </row>
    <row r="70" spans="10:25">
      <c r="J70" s="2"/>
      <c r="M70" s="2"/>
      <c r="N70" s="2"/>
      <c r="S70" s="14"/>
      <c r="Y70" s="2"/>
    </row>
    <row r="71" spans="10:25">
      <c r="J71" s="2"/>
      <c r="M71" s="2"/>
      <c r="N71" s="2"/>
      <c r="S71" s="14"/>
      <c r="Y71" s="2"/>
    </row>
    <row r="72" spans="10:25">
      <c r="J72" s="2"/>
      <c r="M72" s="2"/>
      <c r="N72" s="2"/>
      <c r="S72" s="14"/>
      <c r="Y72" s="2"/>
    </row>
    <row r="73" spans="10:25">
      <c r="J73" s="2"/>
      <c r="M73" s="2"/>
      <c r="N73" s="2"/>
      <c r="S73" s="14"/>
      <c r="Y73" s="2"/>
    </row>
    <row r="74" spans="10:25">
      <c r="J74" s="2"/>
      <c r="M74" s="2"/>
      <c r="N74" s="2"/>
      <c r="S74" s="14"/>
      <c r="Y74" s="2"/>
    </row>
    <row r="75" spans="10:25">
      <c r="J75" s="2"/>
      <c r="M75" s="2"/>
      <c r="N75" s="2"/>
      <c r="S75" s="14"/>
      <c r="Y75" s="2"/>
    </row>
    <row r="76" spans="10:25">
      <c r="J76" s="2"/>
      <c r="M76" s="2"/>
      <c r="N76" s="2"/>
      <c r="S76" s="14"/>
      <c r="Y76" s="2"/>
    </row>
    <row r="77" spans="10:25">
      <c r="J77" s="2"/>
      <c r="M77" s="2"/>
      <c r="N77" s="2"/>
      <c r="S77" s="14"/>
      <c r="Y77" s="2"/>
    </row>
    <row r="78" spans="10:25">
      <c r="J78" s="2"/>
      <c r="M78" s="2"/>
      <c r="N78" s="2"/>
      <c r="S78" s="14"/>
      <c r="Y78" s="2"/>
    </row>
    <row r="79" spans="10:25">
      <c r="J79" s="2"/>
      <c r="M79" s="2"/>
      <c r="N79" s="2"/>
      <c r="S79" s="14"/>
      <c r="Y79" s="2"/>
    </row>
    <row r="80" spans="10:25">
      <c r="J80" s="2"/>
      <c r="M80" s="2"/>
      <c r="N80" s="2"/>
      <c r="S80" s="14"/>
      <c r="Y80" s="2"/>
    </row>
    <row r="81" spans="10:25">
      <c r="J81" s="2"/>
      <c r="M81" s="2"/>
      <c r="N81" s="2"/>
      <c r="S81" s="14"/>
      <c r="Y81" s="2"/>
    </row>
    <row r="82" spans="10:25">
      <c r="J82" s="2"/>
      <c r="M82" s="2"/>
      <c r="N82" s="2"/>
      <c r="S82" s="14"/>
      <c r="Y82" s="2"/>
    </row>
    <row r="83" spans="10:25">
      <c r="J83" s="2"/>
      <c r="M83" s="2"/>
      <c r="N83" s="2"/>
      <c r="S83" s="14"/>
      <c r="Y83" s="2"/>
    </row>
    <row r="84" spans="10:25">
      <c r="J84" s="2"/>
      <c r="M84" s="2"/>
      <c r="N84" s="2"/>
      <c r="S84" s="14"/>
      <c r="Y84" s="2"/>
    </row>
    <row r="85" spans="10:25">
      <c r="J85" s="2"/>
      <c r="M85" s="2"/>
      <c r="N85" s="2"/>
      <c r="S85" s="14"/>
      <c r="Y85" s="2"/>
    </row>
    <row r="86" spans="10:25">
      <c r="J86" s="2"/>
      <c r="M86" s="2"/>
      <c r="N86" s="2"/>
      <c r="S86" s="14"/>
      <c r="Y86" s="2"/>
    </row>
  </sheetData>
  <mergeCells count="6">
    <mergeCell ref="C59:G59"/>
    <mergeCell ref="Z2:AD2"/>
    <mergeCell ref="C2:G2"/>
    <mergeCell ref="H2:N2"/>
    <mergeCell ref="O2:T2"/>
    <mergeCell ref="U2:Y2"/>
  </mergeCells>
  <phoneticPr fontId="0" type="noConversion"/>
  <conditionalFormatting sqref="AF6:AF56">
    <cfRule type="top10" dxfId="0" priority="2" rank="5"/>
  </conditionalFormatting>
  <printOptions horizontalCentered="1"/>
  <pageMargins left="0.19685039370078741" right="0.19685039370078741" top="0.35433070866141736" bottom="0.15748031496062992" header="0.15748031496062992" footer="0.23622047244094491"/>
  <pageSetup scale="85" orientation="portrait" r:id="rId1"/>
  <headerFooter alignWithMargins="0">
    <oddHeader>&amp;LANEXO I</oddHeader>
  </headerFooter>
  <colBreaks count="3" manualBreakCount="3">
    <brk id="7" max="1048575" man="1"/>
    <brk id="14" max="1048575" man="1"/>
    <brk id="2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SheetLayoutView="100" workbookViewId="0">
      <selection activeCell="P4" sqref="P4"/>
    </sheetView>
  </sheetViews>
  <sheetFormatPr baseColWidth="10" defaultColWidth="9.7109375" defaultRowHeight="12.75"/>
  <cols>
    <col min="1" max="1" width="3" style="2" bestFit="1" customWidth="1"/>
    <col min="2" max="2" width="26.28515625" style="2" customWidth="1"/>
    <col min="3" max="3" width="12.7109375" style="2" hidden="1" customWidth="1"/>
    <col min="4" max="8" width="11.7109375" style="2" hidden="1" customWidth="1"/>
    <col min="9" max="9" width="13.85546875" style="2" hidden="1" customWidth="1"/>
    <col min="10" max="10" width="12.5703125" style="2" customWidth="1"/>
    <col min="11" max="11" width="11.140625" style="2" customWidth="1"/>
    <col min="12" max="12" width="11.42578125" style="2" customWidth="1"/>
    <col min="13" max="13" width="11.28515625" style="2" customWidth="1"/>
    <col min="14" max="14" width="10.5703125" style="2" customWidth="1"/>
    <col min="15" max="15" width="10.42578125" style="2" customWidth="1"/>
    <col min="16" max="16" width="14.85546875" style="87" customWidth="1"/>
    <col min="17" max="17" width="11.140625" style="2" customWidth="1"/>
    <col min="18" max="16384" width="9.7109375" style="2"/>
  </cols>
  <sheetData>
    <row r="1" spans="1:17" ht="47.25" customHeight="1">
      <c r="B1" s="257" t="s">
        <v>175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17" ht="8.25" customHeight="1">
      <c r="P2" s="102"/>
    </row>
    <row r="3" spans="1:17" ht="13.5" customHeight="1">
      <c r="B3" s="259" t="s">
        <v>0</v>
      </c>
      <c r="C3" s="260" t="s">
        <v>172</v>
      </c>
      <c r="D3" s="260"/>
      <c r="E3" s="260"/>
      <c r="F3" s="260"/>
      <c r="G3" s="260"/>
      <c r="H3" s="260"/>
      <c r="I3" s="260"/>
      <c r="J3" s="260" t="s">
        <v>185</v>
      </c>
      <c r="K3" s="260"/>
      <c r="L3" s="260"/>
      <c r="M3" s="260"/>
      <c r="N3" s="260"/>
      <c r="O3" s="260"/>
      <c r="P3" s="260"/>
      <c r="Q3" s="261" t="s">
        <v>173</v>
      </c>
    </row>
    <row r="4" spans="1:17" ht="48">
      <c r="B4" s="259"/>
      <c r="C4" s="104" t="s">
        <v>73</v>
      </c>
      <c r="D4" s="105" t="s">
        <v>134</v>
      </c>
      <c r="E4" s="105" t="s">
        <v>74</v>
      </c>
      <c r="F4" s="105" t="s">
        <v>83</v>
      </c>
      <c r="G4" s="105" t="s">
        <v>93</v>
      </c>
      <c r="H4" s="105" t="s">
        <v>94</v>
      </c>
      <c r="I4" s="105" t="s">
        <v>36</v>
      </c>
      <c r="J4" s="104" t="s">
        <v>73</v>
      </c>
      <c r="K4" s="105" t="s">
        <v>134</v>
      </c>
      <c r="L4" s="105" t="s">
        <v>74</v>
      </c>
      <c r="M4" s="105" t="s">
        <v>83</v>
      </c>
      <c r="N4" s="105" t="s">
        <v>93</v>
      </c>
      <c r="O4" s="105" t="s">
        <v>94</v>
      </c>
      <c r="P4" s="104" t="s">
        <v>174</v>
      </c>
      <c r="Q4" s="262"/>
    </row>
    <row r="5" spans="1:17" ht="12.75" customHeight="1">
      <c r="A5" s="85">
        <v>15</v>
      </c>
      <c r="B5" s="95" t="s">
        <v>1</v>
      </c>
      <c r="C5" s="89">
        <v>8456683.4800000004</v>
      </c>
      <c r="D5" s="89">
        <v>1154944.1599999999</v>
      </c>
      <c r="E5" s="89">
        <v>283974.84000000003</v>
      </c>
      <c r="F5" s="89">
        <v>478710.51</v>
      </c>
      <c r="G5" s="89">
        <v>235438.53</v>
      </c>
      <c r="H5" s="89">
        <v>50454.75</v>
      </c>
      <c r="I5" s="90">
        <f>SUM(C5:H5)</f>
        <v>10660206.27</v>
      </c>
      <c r="J5" s="89">
        <f>+C5/2</f>
        <v>4228341.74</v>
      </c>
      <c r="K5" s="89">
        <f t="shared" ref="K5:O5" si="0">+D5/2</f>
        <v>577472.07999999996</v>
      </c>
      <c r="L5" s="89">
        <f t="shared" si="0"/>
        <v>141987.42000000001</v>
      </c>
      <c r="M5" s="89">
        <f t="shared" si="0"/>
        <v>239355.255</v>
      </c>
      <c r="N5" s="89">
        <f t="shared" si="0"/>
        <v>117719.265</v>
      </c>
      <c r="O5" s="89">
        <f t="shared" si="0"/>
        <v>25227.375</v>
      </c>
      <c r="P5" s="91">
        <f t="shared" ref="P5:P36" si="1">SUM(J5:O5)</f>
        <v>5330103.1349999998</v>
      </c>
      <c r="Q5" s="103">
        <f>+P5/P$56</f>
        <v>1.2861627539794776E-3</v>
      </c>
    </row>
    <row r="6" spans="1:17" ht="12.75" customHeight="1">
      <c r="A6" s="85">
        <v>11</v>
      </c>
      <c r="B6" s="95" t="s">
        <v>2</v>
      </c>
      <c r="C6" s="89">
        <v>16270247.26</v>
      </c>
      <c r="D6" s="92">
        <v>2222056.33</v>
      </c>
      <c r="E6" s="92">
        <v>546353.77</v>
      </c>
      <c r="F6" s="92">
        <v>921015.71</v>
      </c>
      <c r="G6" s="92">
        <v>452972.26</v>
      </c>
      <c r="H6" s="92">
        <v>97072.48</v>
      </c>
      <c r="I6" s="93">
        <f t="shared" ref="I6:I55" si="2">SUM(C6:H6)</f>
        <v>20509717.810000002</v>
      </c>
      <c r="J6" s="89">
        <f t="shared" ref="J6:J55" si="3">+C6/2</f>
        <v>8135123.6299999999</v>
      </c>
      <c r="K6" s="89">
        <f t="shared" ref="K6:K55" si="4">+D6/2</f>
        <v>1111028.165</v>
      </c>
      <c r="L6" s="89">
        <f t="shared" ref="L6:L55" si="5">+E6/2</f>
        <v>273176.88500000001</v>
      </c>
      <c r="M6" s="89">
        <f t="shared" ref="M6:M55" si="6">+F6/2</f>
        <v>460507.85499999998</v>
      </c>
      <c r="N6" s="89">
        <f t="shared" ref="N6:N55" si="7">+G6/2</f>
        <v>226486.13</v>
      </c>
      <c r="O6" s="89">
        <f t="shared" ref="O6:O55" si="8">+H6/2</f>
        <v>48536.24</v>
      </c>
      <c r="P6" s="91">
        <f t="shared" si="1"/>
        <v>10254858.905000001</v>
      </c>
      <c r="Q6" s="96">
        <f t="shared" ref="Q6:Q55" si="9">+P6/P$56</f>
        <v>2.4745145144223881E-3</v>
      </c>
    </row>
    <row r="7" spans="1:17" ht="12.75" customHeight="1">
      <c r="A7" s="85">
        <v>12</v>
      </c>
      <c r="B7" s="95" t="s">
        <v>132</v>
      </c>
      <c r="C7" s="89">
        <v>17073492.140000001</v>
      </c>
      <c r="D7" s="92">
        <v>2331756.9</v>
      </c>
      <c r="E7" s="92">
        <v>573326.68000000005</v>
      </c>
      <c r="F7" s="92">
        <v>966485.28</v>
      </c>
      <c r="G7" s="92">
        <v>475335.02</v>
      </c>
      <c r="H7" s="92">
        <v>101864.84</v>
      </c>
      <c r="I7" s="93">
        <f t="shared" si="2"/>
        <v>21522260.859999999</v>
      </c>
      <c r="J7" s="89">
        <f t="shared" si="3"/>
        <v>8536746.0700000003</v>
      </c>
      <c r="K7" s="89">
        <f t="shared" si="4"/>
        <v>1165878.45</v>
      </c>
      <c r="L7" s="89">
        <f t="shared" si="5"/>
        <v>286663.34000000003</v>
      </c>
      <c r="M7" s="89">
        <f t="shared" si="6"/>
        <v>483242.64</v>
      </c>
      <c r="N7" s="89">
        <f t="shared" si="7"/>
        <v>237667.51</v>
      </c>
      <c r="O7" s="89">
        <f t="shared" si="8"/>
        <v>50932.42</v>
      </c>
      <c r="P7" s="91">
        <f t="shared" si="1"/>
        <v>10761130.43</v>
      </c>
      <c r="Q7" s="96">
        <f t="shared" si="9"/>
        <v>2.5966786756709088E-3</v>
      </c>
    </row>
    <row r="8" spans="1:17" ht="12.75" customHeight="1">
      <c r="A8" s="85">
        <v>13</v>
      </c>
      <c r="B8" s="95" t="s">
        <v>3</v>
      </c>
      <c r="C8" s="89">
        <v>47100062.189999998</v>
      </c>
      <c r="D8" s="92">
        <v>6432538.46</v>
      </c>
      <c r="E8" s="92">
        <v>1581616.81</v>
      </c>
      <c r="F8" s="92">
        <v>2666210.0699999998</v>
      </c>
      <c r="G8" s="92">
        <v>1311290.56</v>
      </c>
      <c r="H8" s="92">
        <v>281011.08</v>
      </c>
      <c r="I8" s="93">
        <f t="shared" si="2"/>
        <v>59372729.170000002</v>
      </c>
      <c r="J8" s="89">
        <f t="shared" si="3"/>
        <v>23550031.094999999</v>
      </c>
      <c r="K8" s="89">
        <f t="shared" si="4"/>
        <v>3216269.23</v>
      </c>
      <c r="L8" s="89">
        <f t="shared" si="5"/>
        <v>790808.40500000003</v>
      </c>
      <c r="M8" s="89">
        <f t="shared" si="6"/>
        <v>1333105.0349999999</v>
      </c>
      <c r="N8" s="89">
        <f t="shared" si="7"/>
        <v>655645.28</v>
      </c>
      <c r="O8" s="89">
        <f t="shared" si="8"/>
        <v>140505.54</v>
      </c>
      <c r="P8" s="91">
        <f t="shared" si="1"/>
        <v>29686364.585000001</v>
      </c>
      <c r="Q8" s="96">
        <f t="shared" si="9"/>
        <v>7.1633691625147952E-3</v>
      </c>
    </row>
    <row r="9" spans="1:17" ht="12.75" customHeight="1">
      <c r="A9" s="85">
        <v>14</v>
      </c>
      <c r="B9" s="95" t="s">
        <v>133</v>
      </c>
      <c r="C9" s="89">
        <v>59127255.659999996</v>
      </c>
      <c r="D9" s="92">
        <v>8075113.46</v>
      </c>
      <c r="E9" s="92">
        <v>1985489.12</v>
      </c>
      <c r="F9" s="92">
        <v>3347037.71</v>
      </c>
      <c r="G9" s="92">
        <v>1646133.97</v>
      </c>
      <c r="H9" s="92">
        <v>352768.4</v>
      </c>
      <c r="I9" s="93">
        <f t="shared" si="2"/>
        <v>74533798.319999993</v>
      </c>
      <c r="J9" s="89">
        <f t="shared" si="3"/>
        <v>29563627.829999998</v>
      </c>
      <c r="K9" s="89">
        <f t="shared" si="4"/>
        <v>4037556.73</v>
      </c>
      <c r="L9" s="89">
        <f t="shared" si="5"/>
        <v>992744.56</v>
      </c>
      <c r="M9" s="89">
        <f t="shared" si="6"/>
        <v>1673518.855</v>
      </c>
      <c r="N9" s="89">
        <f t="shared" si="7"/>
        <v>823066.98499999999</v>
      </c>
      <c r="O9" s="89">
        <f t="shared" si="8"/>
        <v>176384.2</v>
      </c>
      <c r="P9" s="91">
        <f t="shared" si="1"/>
        <v>37266899.159999996</v>
      </c>
      <c r="Q9" s="96">
        <f t="shared" si="9"/>
        <v>8.992564766929426E-3</v>
      </c>
    </row>
    <row r="10" spans="1:17" ht="12.75" customHeight="1">
      <c r="A10" s="85">
        <v>17</v>
      </c>
      <c r="B10" s="95" t="s">
        <v>4</v>
      </c>
      <c r="C10" s="89">
        <v>405989025.50999999</v>
      </c>
      <c r="D10" s="92">
        <v>55446636.350000001</v>
      </c>
      <c r="E10" s="92">
        <v>13633083.18</v>
      </c>
      <c r="F10" s="92">
        <v>22981966.010000002</v>
      </c>
      <c r="G10" s="92">
        <v>11302948.529999999</v>
      </c>
      <c r="H10" s="92">
        <v>2422234.86</v>
      </c>
      <c r="I10" s="93">
        <f t="shared" si="2"/>
        <v>511775894.44</v>
      </c>
      <c r="J10" s="89">
        <f t="shared" si="3"/>
        <v>202994512.755</v>
      </c>
      <c r="K10" s="89">
        <f t="shared" si="4"/>
        <v>27723318.175000001</v>
      </c>
      <c r="L10" s="89">
        <f t="shared" si="5"/>
        <v>6816541.5899999999</v>
      </c>
      <c r="M10" s="89">
        <f t="shared" si="6"/>
        <v>11490983.005000001</v>
      </c>
      <c r="N10" s="89">
        <f t="shared" si="7"/>
        <v>5651474.2649999997</v>
      </c>
      <c r="O10" s="89">
        <f t="shared" si="8"/>
        <v>1211117.43</v>
      </c>
      <c r="P10" s="91">
        <f t="shared" si="1"/>
        <v>255887947.22</v>
      </c>
      <c r="Q10" s="96">
        <f t="shared" si="9"/>
        <v>6.1746187375909083E-2</v>
      </c>
    </row>
    <row r="11" spans="1:17" ht="12.75" customHeight="1">
      <c r="A11" s="85">
        <v>16</v>
      </c>
      <c r="B11" s="95" t="s">
        <v>5</v>
      </c>
      <c r="C11" s="89">
        <v>67494144.25</v>
      </c>
      <c r="D11" s="92">
        <v>9217794.1699999999</v>
      </c>
      <c r="E11" s="92">
        <v>2266448.66</v>
      </c>
      <c r="F11" s="92">
        <v>3820665.17</v>
      </c>
      <c r="G11" s="92">
        <v>1879072.56</v>
      </c>
      <c r="H11" s="92">
        <v>402687.41</v>
      </c>
      <c r="I11" s="93">
        <f t="shared" si="2"/>
        <v>85080812.219999999</v>
      </c>
      <c r="J11" s="89">
        <f t="shared" si="3"/>
        <v>33747072.125</v>
      </c>
      <c r="K11" s="89">
        <f t="shared" si="4"/>
        <v>4608897.085</v>
      </c>
      <c r="L11" s="89">
        <f t="shared" si="5"/>
        <v>1133224.33</v>
      </c>
      <c r="M11" s="89">
        <f t="shared" si="6"/>
        <v>1910332.585</v>
      </c>
      <c r="N11" s="89">
        <f t="shared" si="7"/>
        <v>939536.28</v>
      </c>
      <c r="O11" s="89">
        <f t="shared" si="8"/>
        <v>201343.70499999999</v>
      </c>
      <c r="P11" s="91">
        <f t="shared" si="1"/>
        <v>42540406.109999999</v>
      </c>
      <c r="Q11" s="96">
        <f t="shared" si="9"/>
        <v>1.0265070767311334E-2</v>
      </c>
    </row>
    <row r="12" spans="1:17" ht="12.75" customHeight="1">
      <c r="A12" s="85">
        <v>18</v>
      </c>
      <c r="B12" s="95" t="s">
        <v>6</v>
      </c>
      <c r="C12" s="89">
        <v>10731926.619999999</v>
      </c>
      <c r="D12" s="92">
        <v>1465678.12</v>
      </c>
      <c r="E12" s="92">
        <v>360377.35</v>
      </c>
      <c r="F12" s="92">
        <v>607506.01</v>
      </c>
      <c r="G12" s="92">
        <v>298782.5</v>
      </c>
      <c r="H12" s="92">
        <v>64029.43</v>
      </c>
      <c r="I12" s="93">
        <f t="shared" si="2"/>
        <v>13528300.029999997</v>
      </c>
      <c r="J12" s="89">
        <f t="shared" si="3"/>
        <v>5365963.3099999996</v>
      </c>
      <c r="K12" s="89">
        <f t="shared" si="4"/>
        <v>732839.06</v>
      </c>
      <c r="L12" s="89">
        <f t="shared" si="5"/>
        <v>180188.67499999999</v>
      </c>
      <c r="M12" s="89">
        <f t="shared" si="6"/>
        <v>303753.005</v>
      </c>
      <c r="N12" s="89">
        <f t="shared" si="7"/>
        <v>149391.25</v>
      </c>
      <c r="O12" s="89">
        <f t="shared" si="8"/>
        <v>32014.715</v>
      </c>
      <c r="P12" s="91">
        <f t="shared" si="1"/>
        <v>6764150.0149999987</v>
      </c>
      <c r="Q12" s="96">
        <f t="shared" si="9"/>
        <v>1.6322006518965273E-3</v>
      </c>
    </row>
    <row r="13" spans="1:17" ht="12.75" customHeight="1">
      <c r="A13" s="85">
        <v>19</v>
      </c>
      <c r="B13" s="95" t="s">
        <v>117</v>
      </c>
      <c r="C13" s="89">
        <v>106677450.62</v>
      </c>
      <c r="D13" s="92">
        <v>14569127.34</v>
      </c>
      <c r="E13" s="92">
        <v>3582221.36</v>
      </c>
      <c r="F13" s="92">
        <v>6038728.6100000003</v>
      </c>
      <c r="G13" s="92">
        <v>2969956.47</v>
      </c>
      <c r="H13" s="92">
        <v>636465.09</v>
      </c>
      <c r="I13" s="93">
        <f t="shared" si="2"/>
        <v>134473949.49000001</v>
      </c>
      <c r="J13" s="89">
        <f t="shared" si="3"/>
        <v>53338725.310000002</v>
      </c>
      <c r="K13" s="89">
        <f t="shared" si="4"/>
        <v>7284563.6699999999</v>
      </c>
      <c r="L13" s="89">
        <f t="shared" si="5"/>
        <v>1791110.68</v>
      </c>
      <c r="M13" s="89">
        <f t="shared" si="6"/>
        <v>3019364.3050000002</v>
      </c>
      <c r="N13" s="89">
        <f t="shared" si="7"/>
        <v>1484978.2350000001</v>
      </c>
      <c r="O13" s="89">
        <f t="shared" si="8"/>
        <v>318232.54499999998</v>
      </c>
      <c r="P13" s="91">
        <f t="shared" si="1"/>
        <v>67236974.745000005</v>
      </c>
      <c r="Q13" s="96">
        <f t="shared" si="9"/>
        <v>1.6224393865744174E-2</v>
      </c>
    </row>
    <row r="14" spans="1:17" ht="12.75" customHeight="1">
      <c r="A14" s="85">
        <v>20</v>
      </c>
      <c r="B14" s="95" t="s">
        <v>118</v>
      </c>
      <c r="C14" s="89">
        <v>18469977.07</v>
      </c>
      <c r="D14" s="92">
        <v>2522477.2999999998</v>
      </c>
      <c r="E14" s="92">
        <v>620220.54</v>
      </c>
      <c r="F14" s="92">
        <v>1045536.6</v>
      </c>
      <c r="G14" s="92">
        <v>514213.9</v>
      </c>
      <c r="H14" s="92">
        <v>110196.63</v>
      </c>
      <c r="I14" s="93">
        <f t="shared" si="2"/>
        <v>23282622.039999999</v>
      </c>
      <c r="J14" s="89">
        <f t="shared" si="3"/>
        <v>9234988.5350000001</v>
      </c>
      <c r="K14" s="89">
        <f t="shared" si="4"/>
        <v>1261238.6499999999</v>
      </c>
      <c r="L14" s="89">
        <f t="shared" si="5"/>
        <v>310110.27</v>
      </c>
      <c r="M14" s="89">
        <f t="shared" si="6"/>
        <v>522768.3</v>
      </c>
      <c r="N14" s="89">
        <f t="shared" si="7"/>
        <v>257106.95</v>
      </c>
      <c r="O14" s="89">
        <f t="shared" si="8"/>
        <v>55098.315000000002</v>
      </c>
      <c r="P14" s="91">
        <f t="shared" si="1"/>
        <v>11641311.02</v>
      </c>
      <c r="Q14" s="96">
        <f t="shared" si="9"/>
        <v>2.8090677163632111E-3</v>
      </c>
    </row>
    <row r="15" spans="1:17" ht="12.75" customHeight="1">
      <c r="A15" s="85">
        <v>23</v>
      </c>
      <c r="B15" s="95" t="s">
        <v>119</v>
      </c>
      <c r="C15" s="89">
        <v>25750823.350000001</v>
      </c>
      <c r="D15" s="92">
        <v>3516835.3</v>
      </c>
      <c r="E15" s="92">
        <v>864710.85</v>
      </c>
      <c r="F15" s="92">
        <v>1457686.07</v>
      </c>
      <c r="G15" s="92">
        <v>716916.5</v>
      </c>
      <c r="H15" s="92">
        <v>153636.03</v>
      </c>
      <c r="I15" s="93">
        <f t="shared" si="2"/>
        <v>32460608.100000005</v>
      </c>
      <c r="J15" s="89">
        <f t="shared" si="3"/>
        <v>12875411.675000001</v>
      </c>
      <c r="K15" s="89">
        <f t="shared" si="4"/>
        <v>1758417.65</v>
      </c>
      <c r="L15" s="89">
        <f t="shared" si="5"/>
        <v>432355.42499999999</v>
      </c>
      <c r="M15" s="89">
        <f t="shared" si="6"/>
        <v>728843.03500000003</v>
      </c>
      <c r="N15" s="89">
        <f t="shared" si="7"/>
        <v>358458.25</v>
      </c>
      <c r="O15" s="89">
        <f t="shared" si="8"/>
        <v>76818.014999999999</v>
      </c>
      <c r="P15" s="91">
        <f t="shared" si="1"/>
        <v>16230304.050000003</v>
      </c>
      <c r="Q15" s="96">
        <f t="shared" si="9"/>
        <v>3.9163993690475322E-3</v>
      </c>
    </row>
    <row r="16" spans="1:17" ht="12.75" customHeight="1">
      <c r="A16" s="85">
        <v>21</v>
      </c>
      <c r="B16" s="95" t="s">
        <v>7</v>
      </c>
      <c r="C16" s="89">
        <v>54157749.329999998</v>
      </c>
      <c r="D16" s="92">
        <v>7396419.2199999997</v>
      </c>
      <c r="E16" s="92">
        <v>1818613.45</v>
      </c>
      <c r="F16" s="92">
        <v>3065727.09</v>
      </c>
      <c r="G16" s="92">
        <v>1507780.3</v>
      </c>
      <c r="H16" s="92">
        <v>323119.05</v>
      </c>
      <c r="I16" s="93">
        <f t="shared" si="2"/>
        <v>68269408.439999998</v>
      </c>
      <c r="J16" s="89">
        <f t="shared" si="3"/>
        <v>27078874.664999999</v>
      </c>
      <c r="K16" s="89">
        <f t="shared" si="4"/>
        <v>3698209.61</v>
      </c>
      <c r="L16" s="89">
        <f t="shared" si="5"/>
        <v>909306.72499999998</v>
      </c>
      <c r="M16" s="89">
        <f t="shared" si="6"/>
        <v>1532863.5449999999</v>
      </c>
      <c r="N16" s="89">
        <f t="shared" si="7"/>
        <v>753890.15</v>
      </c>
      <c r="O16" s="89">
        <f t="shared" si="8"/>
        <v>161559.52499999999</v>
      </c>
      <c r="P16" s="91">
        <f t="shared" si="1"/>
        <v>34134704.219999999</v>
      </c>
      <c r="Q16" s="96">
        <f t="shared" si="9"/>
        <v>8.2367609169855388E-3</v>
      </c>
    </row>
    <row r="17" spans="1:17" ht="12.75" customHeight="1">
      <c r="A17" s="85">
        <v>22</v>
      </c>
      <c r="B17" s="95" t="s">
        <v>120</v>
      </c>
      <c r="C17" s="89">
        <v>27763179.960000001</v>
      </c>
      <c r="D17" s="92">
        <v>3791666.39</v>
      </c>
      <c r="E17" s="92">
        <v>932285.65</v>
      </c>
      <c r="F17" s="92">
        <v>1571600.26</v>
      </c>
      <c r="G17" s="92">
        <v>772941.57</v>
      </c>
      <c r="H17" s="92">
        <v>165642.26999999999</v>
      </c>
      <c r="I17" s="93">
        <f t="shared" si="2"/>
        <v>34997316.100000001</v>
      </c>
      <c r="J17" s="89">
        <f t="shared" si="3"/>
        <v>13881589.98</v>
      </c>
      <c r="K17" s="89">
        <f t="shared" si="4"/>
        <v>1895833.1950000001</v>
      </c>
      <c r="L17" s="89">
        <f t="shared" si="5"/>
        <v>466142.82500000001</v>
      </c>
      <c r="M17" s="89">
        <f t="shared" si="6"/>
        <v>785800.13</v>
      </c>
      <c r="N17" s="89">
        <f t="shared" si="7"/>
        <v>386470.78499999997</v>
      </c>
      <c r="O17" s="89">
        <f t="shared" si="8"/>
        <v>82821.134999999995</v>
      </c>
      <c r="P17" s="91">
        <f t="shared" si="1"/>
        <v>17498658.050000001</v>
      </c>
      <c r="Q17" s="96">
        <f t="shared" si="9"/>
        <v>4.2224552993632E-3</v>
      </c>
    </row>
    <row r="18" spans="1:17" ht="12.75" customHeight="1">
      <c r="A18" s="85">
        <v>25</v>
      </c>
      <c r="B18" s="95" t="s">
        <v>8</v>
      </c>
      <c r="C18" s="89">
        <v>151914214.69</v>
      </c>
      <c r="D18" s="92">
        <v>20747191.890000001</v>
      </c>
      <c r="E18" s="92">
        <v>5101268.74</v>
      </c>
      <c r="F18" s="92">
        <v>8599462.3000000007</v>
      </c>
      <c r="G18" s="92">
        <v>4229371.83</v>
      </c>
      <c r="H18" s="92">
        <v>906359.25</v>
      </c>
      <c r="I18" s="93">
        <f t="shared" si="2"/>
        <v>191497868.70000002</v>
      </c>
      <c r="J18" s="89">
        <f t="shared" si="3"/>
        <v>75957107.344999999</v>
      </c>
      <c r="K18" s="89">
        <f t="shared" si="4"/>
        <v>10373595.945</v>
      </c>
      <c r="L18" s="89">
        <f t="shared" si="5"/>
        <v>2550634.37</v>
      </c>
      <c r="M18" s="89">
        <f t="shared" si="6"/>
        <v>4299731.1500000004</v>
      </c>
      <c r="N18" s="89">
        <f t="shared" si="7"/>
        <v>2114685.915</v>
      </c>
      <c r="O18" s="89">
        <f t="shared" si="8"/>
        <v>453179.625</v>
      </c>
      <c r="P18" s="91">
        <f t="shared" si="1"/>
        <v>95748934.350000009</v>
      </c>
      <c r="Q18" s="96">
        <f t="shared" si="9"/>
        <v>2.3104377152768963E-2</v>
      </c>
    </row>
    <row r="19" spans="1:17" ht="12.75" customHeight="1">
      <c r="A19" s="85">
        <v>27</v>
      </c>
      <c r="B19" s="95" t="s">
        <v>9</v>
      </c>
      <c r="C19" s="89">
        <v>19268404.920000002</v>
      </c>
      <c r="D19" s="92">
        <v>2631520</v>
      </c>
      <c r="E19" s="92">
        <v>647031.68999999994</v>
      </c>
      <c r="F19" s="92">
        <v>1090733.49</v>
      </c>
      <c r="G19" s="92">
        <v>536442.55000000005</v>
      </c>
      <c r="H19" s="92">
        <v>114960.26</v>
      </c>
      <c r="I19" s="93">
        <f t="shared" si="2"/>
        <v>24289092.910000004</v>
      </c>
      <c r="J19" s="89">
        <f t="shared" si="3"/>
        <v>9634202.4600000009</v>
      </c>
      <c r="K19" s="89">
        <f t="shared" si="4"/>
        <v>1315760</v>
      </c>
      <c r="L19" s="89">
        <f t="shared" si="5"/>
        <v>323515.84499999997</v>
      </c>
      <c r="M19" s="89">
        <f t="shared" si="6"/>
        <v>545366.745</v>
      </c>
      <c r="N19" s="89">
        <f t="shared" si="7"/>
        <v>268221.27500000002</v>
      </c>
      <c r="O19" s="89">
        <f t="shared" si="8"/>
        <v>57480.13</v>
      </c>
      <c r="P19" s="91">
        <f t="shared" si="1"/>
        <v>12144546.455000002</v>
      </c>
      <c r="Q19" s="96">
        <f t="shared" si="9"/>
        <v>2.9304992640436975E-3</v>
      </c>
    </row>
    <row r="20" spans="1:17" ht="12.75" customHeight="1">
      <c r="A20" s="85">
        <v>26</v>
      </c>
      <c r="B20" s="95" t="s">
        <v>121</v>
      </c>
      <c r="C20" s="89">
        <v>13505797.789999999</v>
      </c>
      <c r="D20" s="92">
        <v>1844510.59</v>
      </c>
      <c r="E20" s="92">
        <v>453523.75</v>
      </c>
      <c r="F20" s="92">
        <v>764527.53</v>
      </c>
      <c r="G20" s="92">
        <v>376008.53</v>
      </c>
      <c r="H20" s="92">
        <v>80579.06</v>
      </c>
      <c r="I20" s="93">
        <f t="shared" si="2"/>
        <v>17024947.249999996</v>
      </c>
      <c r="J20" s="89">
        <f t="shared" si="3"/>
        <v>6752898.8949999996</v>
      </c>
      <c r="K20" s="89">
        <f t="shared" si="4"/>
        <v>922255.29500000004</v>
      </c>
      <c r="L20" s="89">
        <f t="shared" si="5"/>
        <v>226761.875</v>
      </c>
      <c r="M20" s="89">
        <f t="shared" si="6"/>
        <v>382263.76500000001</v>
      </c>
      <c r="N20" s="89">
        <f t="shared" si="7"/>
        <v>188004.26500000001</v>
      </c>
      <c r="O20" s="89">
        <f t="shared" si="8"/>
        <v>40289.53</v>
      </c>
      <c r="P20" s="91">
        <f t="shared" si="1"/>
        <v>8512473.6249999981</v>
      </c>
      <c r="Q20" s="96">
        <f t="shared" si="9"/>
        <v>2.0540740476136517E-3</v>
      </c>
    </row>
    <row r="21" spans="1:17" ht="12.75" customHeight="1">
      <c r="A21" s="85">
        <v>29</v>
      </c>
      <c r="B21" s="95" t="s">
        <v>10</v>
      </c>
      <c r="C21" s="89">
        <v>117677666.58</v>
      </c>
      <c r="D21" s="92">
        <v>16071446.210000001</v>
      </c>
      <c r="E21" s="92">
        <v>3951607.84</v>
      </c>
      <c r="F21" s="92">
        <v>6661421.7699999996</v>
      </c>
      <c r="G21" s="92">
        <v>3276208.28</v>
      </c>
      <c r="H21" s="92">
        <v>702095.2</v>
      </c>
      <c r="I21" s="93">
        <f t="shared" si="2"/>
        <v>148340445.88</v>
      </c>
      <c r="J21" s="89">
        <f t="shared" si="3"/>
        <v>58838833.289999999</v>
      </c>
      <c r="K21" s="89">
        <f t="shared" si="4"/>
        <v>8035723.1050000004</v>
      </c>
      <c r="L21" s="89">
        <f t="shared" si="5"/>
        <v>1975803.92</v>
      </c>
      <c r="M21" s="89">
        <f t="shared" si="6"/>
        <v>3330710.8849999998</v>
      </c>
      <c r="N21" s="89">
        <f t="shared" si="7"/>
        <v>1638104.14</v>
      </c>
      <c r="O21" s="89">
        <f t="shared" si="8"/>
        <v>351047.6</v>
      </c>
      <c r="P21" s="91">
        <f t="shared" si="1"/>
        <v>74170222.939999998</v>
      </c>
      <c r="Q21" s="96">
        <f t="shared" si="9"/>
        <v>1.789739818979736E-2</v>
      </c>
    </row>
    <row r="22" spans="1:17" ht="12.75" customHeight="1">
      <c r="A22" s="85">
        <v>30</v>
      </c>
      <c r="B22" s="95" t="s">
        <v>122</v>
      </c>
      <c r="C22" s="89">
        <v>145685695.75999999</v>
      </c>
      <c r="D22" s="92">
        <v>19896552.09</v>
      </c>
      <c r="E22" s="92">
        <v>4892115.51</v>
      </c>
      <c r="F22" s="92">
        <v>8246882.2999999998</v>
      </c>
      <c r="G22" s="92">
        <v>4055966.58</v>
      </c>
      <c r="H22" s="92">
        <v>869198.3</v>
      </c>
      <c r="I22" s="93">
        <f t="shared" si="2"/>
        <v>183646410.54000002</v>
      </c>
      <c r="J22" s="89">
        <f t="shared" si="3"/>
        <v>72842847.879999995</v>
      </c>
      <c r="K22" s="89">
        <f t="shared" si="4"/>
        <v>9948276.0449999999</v>
      </c>
      <c r="L22" s="89">
        <f t="shared" si="5"/>
        <v>2446057.7549999999</v>
      </c>
      <c r="M22" s="89">
        <f t="shared" si="6"/>
        <v>4123441.15</v>
      </c>
      <c r="N22" s="89">
        <f t="shared" si="7"/>
        <v>2027983.29</v>
      </c>
      <c r="O22" s="89">
        <f t="shared" si="8"/>
        <v>434599.15</v>
      </c>
      <c r="P22" s="91">
        <f t="shared" si="1"/>
        <v>91823205.270000011</v>
      </c>
      <c r="Q22" s="96">
        <f t="shared" si="9"/>
        <v>2.2157092194668406E-2</v>
      </c>
    </row>
    <row r="23" spans="1:17" ht="12.75" customHeight="1">
      <c r="A23" s="85">
        <v>32</v>
      </c>
      <c r="B23" s="95" t="s">
        <v>11</v>
      </c>
      <c r="C23" s="89">
        <v>22617688.309999999</v>
      </c>
      <c r="D23" s="92">
        <v>3088937.53</v>
      </c>
      <c r="E23" s="92">
        <v>759500.4</v>
      </c>
      <c r="F23" s="92">
        <v>1280327.57</v>
      </c>
      <c r="G23" s="92">
        <v>629688.37</v>
      </c>
      <c r="H23" s="92">
        <v>134942.94</v>
      </c>
      <c r="I23" s="93">
        <f t="shared" si="2"/>
        <v>28511085.120000001</v>
      </c>
      <c r="J23" s="89">
        <f t="shared" si="3"/>
        <v>11308844.154999999</v>
      </c>
      <c r="K23" s="89">
        <f t="shared" si="4"/>
        <v>1544468.7649999999</v>
      </c>
      <c r="L23" s="89">
        <f t="shared" si="5"/>
        <v>379750.2</v>
      </c>
      <c r="M23" s="89">
        <f t="shared" si="6"/>
        <v>640163.78500000003</v>
      </c>
      <c r="N23" s="89">
        <f t="shared" si="7"/>
        <v>314844.185</v>
      </c>
      <c r="O23" s="89">
        <f t="shared" si="8"/>
        <v>67471.47</v>
      </c>
      <c r="P23" s="91">
        <f t="shared" si="1"/>
        <v>14255542.560000001</v>
      </c>
      <c r="Q23" s="96">
        <f t="shared" si="9"/>
        <v>3.4398861361697184E-3</v>
      </c>
    </row>
    <row r="24" spans="1:17" ht="12.75" customHeight="1">
      <c r="A24" s="85">
        <v>33</v>
      </c>
      <c r="B24" s="95" t="s">
        <v>12</v>
      </c>
      <c r="C24" s="89">
        <v>309170413.64999998</v>
      </c>
      <c r="D24" s="92">
        <v>42223947.990000002</v>
      </c>
      <c r="E24" s="92">
        <v>10381920.939999999</v>
      </c>
      <c r="F24" s="92">
        <v>17501320.210000001</v>
      </c>
      <c r="G24" s="92">
        <v>8607467.3300000001</v>
      </c>
      <c r="H24" s="92">
        <v>1844590.14</v>
      </c>
      <c r="I24" s="93">
        <f t="shared" si="2"/>
        <v>389729660.25999993</v>
      </c>
      <c r="J24" s="89">
        <f t="shared" si="3"/>
        <v>154585206.82499999</v>
      </c>
      <c r="K24" s="89">
        <f t="shared" si="4"/>
        <v>21111973.995000001</v>
      </c>
      <c r="L24" s="89">
        <f t="shared" si="5"/>
        <v>5190960.47</v>
      </c>
      <c r="M24" s="89">
        <f t="shared" si="6"/>
        <v>8750660.1050000004</v>
      </c>
      <c r="N24" s="89">
        <f t="shared" si="7"/>
        <v>4303733.665</v>
      </c>
      <c r="O24" s="89">
        <f t="shared" si="8"/>
        <v>922295.07</v>
      </c>
      <c r="P24" s="91">
        <f t="shared" si="1"/>
        <v>194864830.12999997</v>
      </c>
      <c r="Q24" s="96">
        <f t="shared" si="9"/>
        <v>4.7021207700091501E-2</v>
      </c>
    </row>
    <row r="25" spans="1:17" ht="12.75" customHeight="1">
      <c r="A25" s="85">
        <v>34</v>
      </c>
      <c r="B25" s="95" t="s">
        <v>123</v>
      </c>
      <c r="C25" s="89">
        <v>45647843.009999998</v>
      </c>
      <c r="D25" s="92">
        <v>6234206.3300000001</v>
      </c>
      <c r="E25" s="92">
        <v>1532851.39</v>
      </c>
      <c r="F25" s="92">
        <v>2584003.7799999998</v>
      </c>
      <c r="G25" s="92">
        <v>1270860.02</v>
      </c>
      <c r="H25" s="92">
        <v>272346.76</v>
      </c>
      <c r="I25" s="93">
        <f t="shared" si="2"/>
        <v>57542111.289999999</v>
      </c>
      <c r="J25" s="89">
        <f t="shared" si="3"/>
        <v>22823921.504999999</v>
      </c>
      <c r="K25" s="89">
        <f t="shared" si="4"/>
        <v>3117103.165</v>
      </c>
      <c r="L25" s="89">
        <f t="shared" si="5"/>
        <v>766425.69499999995</v>
      </c>
      <c r="M25" s="89">
        <f t="shared" si="6"/>
        <v>1292001.8899999999</v>
      </c>
      <c r="N25" s="89">
        <f t="shared" si="7"/>
        <v>635430.01</v>
      </c>
      <c r="O25" s="89">
        <f t="shared" si="8"/>
        <v>136173.38</v>
      </c>
      <c r="P25" s="91">
        <f t="shared" si="1"/>
        <v>28771055.645</v>
      </c>
      <c r="Q25" s="96">
        <f t="shared" si="9"/>
        <v>6.9425035925257004E-3</v>
      </c>
    </row>
    <row r="26" spans="1:17" ht="12.75" customHeight="1">
      <c r="A26" s="85">
        <v>35</v>
      </c>
      <c r="B26" s="95" t="s">
        <v>13</v>
      </c>
      <c r="C26" s="89">
        <v>7432606.0899999999</v>
      </c>
      <c r="D26" s="92">
        <v>1015084.11</v>
      </c>
      <c r="E26" s="92">
        <v>249586.39</v>
      </c>
      <c r="F26" s="92">
        <v>420740.19</v>
      </c>
      <c r="G26" s="92">
        <v>206927.67</v>
      </c>
      <c r="H26" s="92">
        <v>44344.84</v>
      </c>
      <c r="I26" s="93">
        <f t="shared" si="2"/>
        <v>9369289.2899999991</v>
      </c>
      <c r="J26" s="89">
        <f t="shared" si="3"/>
        <v>3716303.0449999999</v>
      </c>
      <c r="K26" s="89">
        <f t="shared" si="4"/>
        <v>507542.05499999999</v>
      </c>
      <c r="L26" s="89">
        <f t="shared" si="5"/>
        <v>124793.19500000001</v>
      </c>
      <c r="M26" s="89">
        <f t="shared" si="6"/>
        <v>210370.095</v>
      </c>
      <c r="N26" s="89">
        <f t="shared" si="7"/>
        <v>103463.83500000001</v>
      </c>
      <c r="O26" s="89">
        <f t="shared" si="8"/>
        <v>22172.42</v>
      </c>
      <c r="P26" s="91">
        <f t="shared" si="1"/>
        <v>4684644.6449999996</v>
      </c>
      <c r="Q26" s="96">
        <f t="shared" si="9"/>
        <v>1.1304125465160277E-3</v>
      </c>
    </row>
    <row r="27" spans="1:17" ht="12.75" customHeight="1">
      <c r="A27" s="85">
        <v>61</v>
      </c>
      <c r="B27" s="95" t="s">
        <v>14</v>
      </c>
      <c r="C27" s="89">
        <v>33953602.020000003</v>
      </c>
      <c r="D27" s="92">
        <v>4637103.24</v>
      </c>
      <c r="E27" s="92">
        <v>1140159.5900000001</v>
      </c>
      <c r="F27" s="92">
        <v>1922023.7</v>
      </c>
      <c r="G27" s="92">
        <v>945286.18</v>
      </c>
      <c r="H27" s="92">
        <v>202575.92</v>
      </c>
      <c r="I27" s="93">
        <f t="shared" si="2"/>
        <v>42800750.650000013</v>
      </c>
      <c r="J27" s="89">
        <f t="shared" si="3"/>
        <v>16976801.010000002</v>
      </c>
      <c r="K27" s="89">
        <f t="shared" si="4"/>
        <v>2318551.62</v>
      </c>
      <c r="L27" s="89">
        <f t="shared" si="5"/>
        <v>570079.79500000004</v>
      </c>
      <c r="M27" s="89">
        <f t="shared" si="6"/>
        <v>961011.85</v>
      </c>
      <c r="N27" s="89">
        <f t="shared" si="7"/>
        <v>472643.09</v>
      </c>
      <c r="O27" s="89">
        <f t="shared" si="8"/>
        <v>101287.96</v>
      </c>
      <c r="P27" s="91">
        <f t="shared" si="1"/>
        <v>21400375.325000007</v>
      </c>
      <c r="Q27" s="96">
        <f t="shared" si="9"/>
        <v>5.1639461689696681E-3</v>
      </c>
    </row>
    <row r="28" spans="1:17" ht="12.75" customHeight="1">
      <c r="A28" s="85">
        <v>36</v>
      </c>
      <c r="B28" s="95" t="s">
        <v>15</v>
      </c>
      <c r="C28" s="89">
        <v>33767565.25</v>
      </c>
      <c r="D28" s="92">
        <v>4611695.87</v>
      </c>
      <c r="E28" s="92">
        <v>1133912.49</v>
      </c>
      <c r="F28" s="92">
        <v>1911492.65</v>
      </c>
      <c r="G28" s="92">
        <v>940106.82</v>
      </c>
      <c r="H28" s="92">
        <v>201465.97</v>
      </c>
      <c r="I28" s="93">
        <f t="shared" si="2"/>
        <v>42566239.049999997</v>
      </c>
      <c r="J28" s="89">
        <f t="shared" si="3"/>
        <v>16883782.625</v>
      </c>
      <c r="K28" s="89">
        <f t="shared" si="4"/>
        <v>2305847.9350000001</v>
      </c>
      <c r="L28" s="89">
        <f t="shared" si="5"/>
        <v>566956.245</v>
      </c>
      <c r="M28" s="89">
        <f t="shared" si="6"/>
        <v>955746.32499999995</v>
      </c>
      <c r="N28" s="89">
        <f t="shared" si="7"/>
        <v>470053.41</v>
      </c>
      <c r="O28" s="89">
        <f t="shared" si="8"/>
        <v>100732.985</v>
      </c>
      <c r="P28" s="91">
        <f t="shared" si="1"/>
        <v>21283119.524999999</v>
      </c>
      <c r="Q28" s="96">
        <f t="shared" si="9"/>
        <v>5.1356521493553407E-3</v>
      </c>
    </row>
    <row r="29" spans="1:17" ht="12.75" customHeight="1">
      <c r="A29" s="85">
        <v>28</v>
      </c>
      <c r="B29" s="95" t="s">
        <v>16</v>
      </c>
      <c r="C29" s="89">
        <v>528778679.38</v>
      </c>
      <c r="D29" s="92">
        <v>72216235.670000002</v>
      </c>
      <c r="E29" s="92">
        <v>17756351.190000001</v>
      </c>
      <c r="F29" s="92">
        <v>29932763.879999999</v>
      </c>
      <c r="G29" s="92">
        <v>14721477.23</v>
      </c>
      <c r="H29" s="92">
        <v>3154829.49</v>
      </c>
      <c r="I29" s="93">
        <f t="shared" si="2"/>
        <v>666560336.84000003</v>
      </c>
      <c r="J29" s="89">
        <f t="shared" si="3"/>
        <v>264389339.69</v>
      </c>
      <c r="K29" s="89">
        <f t="shared" si="4"/>
        <v>36108117.835000001</v>
      </c>
      <c r="L29" s="89">
        <f t="shared" si="5"/>
        <v>8878175.5950000007</v>
      </c>
      <c r="M29" s="89">
        <f t="shared" si="6"/>
        <v>14966381.939999999</v>
      </c>
      <c r="N29" s="89">
        <f t="shared" si="7"/>
        <v>7360738.6150000002</v>
      </c>
      <c r="O29" s="89">
        <f t="shared" si="8"/>
        <v>1577414.7450000001</v>
      </c>
      <c r="P29" s="91">
        <f t="shared" si="1"/>
        <v>333280168.42000002</v>
      </c>
      <c r="Q29" s="96">
        <f t="shared" si="9"/>
        <v>8.0421059106168938E-2</v>
      </c>
    </row>
    <row r="30" spans="1:17" ht="12.75" customHeight="1">
      <c r="A30" s="85">
        <v>37</v>
      </c>
      <c r="B30" s="95" t="s">
        <v>124</v>
      </c>
      <c r="C30" s="89">
        <v>13615833.84</v>
      </c>
      <c r="D30" s="92">
        <v>1859538.41</v>
      </c>
      <c r="E30" s="92">
        <v>457218.75</v>
      </c>
      <c r="F30" s="92">
        <v>770756.38</v>
      </c>
      <c r="G30" s="92">
        <v>379071.99</v>
      </c>
      <c r="H30" s="92">
        <v>81235.56</v>
      </c>
      <c r="I30" s="93">
        <f t="shared" si="2"/>
        <v>17163654.93</v>
      </c>
      <c r="J30" s="89">
        <f t="shared" si="3"/>
        <v>6807916.9199999999</v>
      </c>
      <c r="K30" s="89">
        <f t="shared" si="4"/>
        <v>929769.20499999996</v>
      </c>
      <c r="L30" s="89">
        <f t="shared" si="5"/>
        <v>228609.375</v>
      </c>
      <c r="M30" s="89">
        <f t="shared" si="6"/>
        <v>385378.19</v>
      </c>
      <c r="N30" s="89">
        <f t="shared" si="7"/>
        <v>189535.995</v>
      </c>
      <c r="O30" s="89">
        <f t="shared" si="8"/>
        <v>40617.78</v>
      </c>
      <c r="P30" s="91">
        <f t="shared" si="1"/>
        <v>8581827.4649999999</v>
      </c>
      <c r="Q30" s="96">
        <f t="shared" si="9"/>
        <v>2.0708092445871819E-3</v>
      </c>
    </row>
    <row r="31" spans="1:17" ht="12.75" customHeight="1">
      <c r="A31" s="85">
        <v>39</v>
      </c>
      <c r="B31" s="95" t="s">
        <v>17</v>
      </c>
      <c r="C31" s="89">
        <v>23437552.559999999</v>
      </c>
      <c r="D31" s="92">
        <v>3200907.84</v>
      </c>
      <c r="E31" s="92">
        <v>787031.38</v>
      </c>
      <c r="F31" s="92">
        <v>1326737.9199999999</v>
      </c>
      <c r="G31" s="92">
        <v>652513.81999999995</v>
      </c>
      <c r="H31" s="92">
        <v>139834.46</v>
      </c>
      <c r="I31" s="93">
        <f t="shared" si="2"/>
        <v>29544577.979999997</v>
      </c>
      <c r="J31" s="89">
        <f t="shared" si="3"/>
        <v>11718776.279999999</v>
      </c>
      <c r="K31" s="89">
        <f t="shared" si="4"/>
        <v>1600453.92</v>
      </c>
      <c r="L31" s="89">
        <f t="shared" si="5"/>
        <v>393515.69</v>
      </c>
      <c r="M31" s="89">
        <f t="shared" si="6"/>
        <v>663368.95999999996</v>
      </c>
      <c r="N31" s="89">
        <f t="shared" si="7"/>
        <v>326256.90999999997</v>
      </c>
      <c r="O31" s="89">
        <f t="shared" si="8"/>
        <v>69917.23</v>
      </c>
      <c r="P31" s="91">
        <f t="shared" si="1"/>
        <v>14772288.989999998</v>
      </c>
      <c r="Q31" s="96">
        <f t="shared" si="9"/>
        <v>3.5645779094214684E-3</v>
      </c>
    </row>
    <row r="32" spans="1:17" ht="12.75" customHeight="1">
      <c r="A32" s="85">
        <v>38</v>
      </c>
      <c r="B32" s="95" t="s">
        <v>18</v>
      </c>
      <c r="C32" s="89">
        <v>13451370.800000001</v>
      </c>
      <c r="D32" s="92">
        <v>1837077.4</v>
      </c>
      <c r="E32" s="92">
        <v>451696.09</v>
      </c>
      <c r="F32" s="92">
        <v>761446.56</v>
      </c>
      <c r="G32" s="92">
        <v>374493.26</v>
      </c>
      <c r="H32" s="92">
        <v>80254.34</v>
      </c>
      <c r="I32" s="93">
        <f t="shared" si="2"/>
        <v>16956338.450000003</v>
      </c>
      <c r="J32" s="89">
        <f t="shared" si="3"/>
        <v>6725685.4000000004</v>
      </c>
      <c r="K32" s="89">
        <f t="shared" si="4"/>
        <v>918538.7</v>
      </c>
      <c r="L32" s="89">
        <f t="shared" si="5"/>
        <v>225848.04500000001</v>
      </c>
      <c r="M32" s="89">
        <f t="shared" si="6"/>
        <v>380723.28</v>
      </c>
      <c r="N32" s="89">
        <f t="shared" si="7"/>
        <v>187246.63</v>
      </c>
      <c r="O32" s="89">
        <f t="shared" si="8"/>
        <v>40127.17</v>
      </c>
      <c r="P32" s="91">
        <f t="shared" si="1"/>
        <v>8478169.2250000015</v>
      </c>
      <c r="Q32" s="96">
        <f t="shared" si="9"/>
        <v>2.0457963388226361E-3</v>
      </c>
    </row>
    <row r="33" spans="1:17" ht="12.75" customHeight="1">
      <c r="A33" s="85">
        <v>40</v>
      </c>
      <c r="B33" s="95" t="s">
        <v>19</v>
      </c>
      <c r="C33" s="89">
        <v>18763177.170000002</v>
      </c>
      <c r="D33" s="92">
        <v>2562520.16</v>
      </c>
      <c r="E33" s="92">
        <v>630066.18000000005</v>
      </c>
      <c r="F33" s="92">
        <v>1062133.8799999999</v>
      </c>
      <c r="G33" s="92">
        <v>522376.75</v>
      </c>
      <c r="H33" s="92">
        <v>111945.94</v>
      </c>
      <c r="I33" s="93">
        <f t="shared" si="2"/>
        <v>23652220.080000002</v>
      </c>
      <c r="J33" s="89">
        <f t="shared" si="3"/>
        <v>9381588.5850000009</v>
      </c>
      <c r="K33" s="89">
        <f t="shared" si="4"/>
        <v>1281260.08</v>
      </c>
      <c r="L33" s="89">
        <f t="shared" si="5"/>
        <v>315033.09000000003</v>
      </c>
      <c r="M33" s="89">
        <f t="shared" si="6"/>
        <v>531066.93999999994</v>
      </c>
      <c r="N33" s="89">
        <f t="shared" si="7"/>
        <v>261188.375</v>
      </c>
      <c r="O33" s="89">
        <f t="shared" si="8"/>
        <v>55972.97</v>
      </c>
      <c r="P33" s="91">
        <f t="shared" si="1"/>
        <v>11826110.040000001</v>
      </c>
      <c r="Q33" s="96">
        <f t="shared" si="9"/>
        <v>2.8536600273328019E-3</v>
      </c>
    </row>
    <row r="34" spans="1:17" ht="12.75" customHeight="1">
      <c r="A34" s="85">
        <v>41</v>
      </c>
      <c r="B34" s="95" t="s">
        <v>20</v>
      </c>
      <c r="C34" s="89">
        <v>17881547.870000001</v>
      </c>
      <c r="D34" s="92">
        <v>2442114.4900000002</v>
      </c>
      <c r="E34" s="92">
        <v>600461.13</v>
      </c>
      <c r="F34" s="92">
        <v>1012227.18</v>
      </c>
      <c r="G34" s="92">
        <v>497831.72</v>
      </c>
      <c r="H34" s="92">
        <v>106685.91</v>
      </c>
      <c r="I34" s="93">
        <f t="shared" si="2"/>
        <v>22540868.299999997</v>
      </c>
      <c r="J34" s="89">
        <f t="shared" si="3"/>
        <v>8940773.9350000005</v>
      </c>
      <c r="K34" s="89">
        <f t="shared" si="4"/>
        <v>1221057.2450000001</v>
      </c>
      <c r="L34" s="89">
        <f t="shared" si="5"/>
        <v>300230.565</v>
      </c>
      <c r="M34" s="89">
        <f t="shared" si="6"/>
        <v>506113.59</v>
      </c>
      <c r="N34" s="89">
        <f t="shared" si="7"/>
        <v>248915.86</v>
      </c>
      <c r="O34" s="89">
        <f t="shared" si="8"/>
        <v>53342.955000000002</v>
      </c>
      <c r="P34" s="91">
        <f t="shared" si="1"/>
        <v>11270434.149999999</v>
      </c>
      <c r="Q34" s="96">
        <f t="shared" si="9"/>
        <v>2.7195745106174856E-3</v>
      </c>
    </row>
    <row r="35" spans="1:17" ht="12.75" customHeight="1">
      <c r="A35" s="85">
        <v>42</v>
      </c>
      <c r="B35" s="95" t="s">
        <v>125</v>
      </c>
      <c r="C35" s="89">
        <v>165832851.94</v>
      </c>
      <c r="D35" s="92">
        <v>22648084.699999999</v>
      </c>
      <c r="E35" s="92">
        <v>5568655.6100000003</v>
      </c>
      <c r="F35" s="92">
        <v>9387359.5800000001</v>
      </c>
      <c r="G35" s="92">
        <v>4616874.03</v>
      </c>
      <c r="H35" s="92">
        <v>989401.41</v>
      </c>
      <c r="I35" s="93">
        <f t="shared" si="2"/>
        <v>209043227.27000001</v>
      </c>
      <c r="J35" s="89">
        <f t="shared" si="3"/>
        <v>82916425.969999999</v>
      </c>
      <c r="K35" s="89">
        <f t="shared" si="4"/>
        <v>11324042.35</v>
      </c>
      <c r="L35" s="89">
        <f t="shared" si="5"/>
        <v>2784327.8050000002</v>
      </c>
      <c r="M35" s="89">
        <f t="shared" si="6"/>
        <v>4693679.79</v>
      </c>
      <c r="N35" s="89">
        <f t="shared" si="7"/>
        <v>2308437.0150000001</v>
      </c>
      <c r="O35" s="89">
        <f t="shared" si="8"/>
        <v>494700.70500000002</v>
      </c>
      <c r="P35" s="91">
        <f t="shared" si="1"/>
        <v>104521613.63500001</v>
      </c>
      <c r="Q35" s="96">
        <f t="shared" si="9"/>
        <v>2.5221239259035563E-2</v>
      </c>
    </row>
    <row r="36" spans="1:17" ht="12.75" customHeight="1">
      <c r="A36" s="85">
        <v>43</v>
      </c>
      <c r="B36" s="95" t="s">
        <v>21</v>
      </c>
      <c r="C36" s="89">
        <v>31970901.600000001</v>
      </c>
      <c r="D36" s="92">
        <v>4366322.3499999996</v>
      </c>
      <c r="E36" s="92">
        <v>1073580.6499999999</v>
      </c>
      <c r="F36" s="92">
        <v>1809788.26</v>
      </c>
      <c r="G36" s="92">
        <v>890086.76</v>
      </c>
      <c r="H36" s="92">
        <v>190746.62</v>
      </c>
      <c r="I36" s="93">
        <f t="shared" si="2"/>
        <v>40301426.239999995</v>
      </c>
      <c r="J36" s="89">
        <f t="shared" si="3"/>
        <v>15985450.800000001</v>
      </c>
      <c r="K36" s="89">
        <f t="shared" si="4"/>
        <v>2183161.1749999998</v>
      </c>
      <c r="L36" s="89">
        <f t="shared" si="5"/>
        <v>536790.32499999995</v>
      </c>
      <c r="M36" s="89">
        <f t="shared" si="6"/>
        <v>904894.13</v>
      </c>
      <c r="N36" s="89">
        <f t="shared" si="7"/>
        <v>445043.38</v>
      </c>
      <c r="O36" s="89">
        <f t="shared" si="8"/>
        <v>95373.31</v>
      </c>
      <c r="P36" s="91">
        <f t="shared" si="1"/>
        <v>20150713.119999997</v>
      </c>
      <c r="Q36" s="96">
        <f t="shared" si="9"/>
        <v>4.862400599884375E-3</v>
      </c>
    </row>
    <row r="37" spans="1:17" ht="12.75" customHeight="1">
      <c r="A37" s="85">
        <v>44</v>
      </c>
      <c r="B37" s="95" t="s">
        <v>22</v>
      </c>
      <c r="C37" s="89">
        <v>117218348.14</v>
      </c>
      <c r="D37" s="92">
        <v>16008716.279999999</v>
      </c>
      <c r="E37" s="92">
        <v>3936183.96</v>
      </c>
      <c r="F37" s="92">
        <v>6635420.9699999997</v>
      </c>
      <c r="G37" s="92">
        <v>3263420.62</v>
      </c>
      <c r="H37" s="92">
        <v>699354.79</v>
      </c>
      <c r="I37" s="93">
        <f t="shared" si="2"/>
        <v>147761444.75999999</v>
      </c>
      <c r="J37" s="89">
        <f t="shared" si="3"/>
        <v>58609174.07</v>
      </c>
      <c r="K37" s="89">
        <f t="shared" si="4"/>
        <v>8004358.1399999997</v>
      </c>
      <c r="L37" s="89">
        <f t="shared" si="5"/>
        <v>1968091.98</v>
      </c>
      <c r="M37" s="89">
        <f t="shared" si="6"/>
        <v>3317710.4849999999</v>
      </c>
      <c r="N37" s="89">
        <f t="shared" si="7"/>
        <v>1631710.31</v>
      </c>
      <c r="O37" s="89">
        <f t="shared" si="8"/>
        <v>349677.39500000002</v>
      </c>
      <c r="P37" s="91">
        <f t="shared" ref="P37:P55" si="10">SUM(J37:O37)</f>
        <v>73880722.379999995</v>
      </c>
      <c r="Q37" s="96">
        <f t="shared" si="9"/>
        <v>1.7827541223037521E-2</v>
      </c>
    </row>
    <row r="38" spans="1:17" ht="12.75" customHeight="1">
      <c r="A38" s="85">
        <v>46</v>
      </c>
      <c r="B38" s="95" t="s">
        <v>126</v>
      </c>
      <c r="C38" s="89">
        <v>25010439.550000001</v>
      </c>
      <c r="D38" s="92">
        <v>3415719.78</v>
      </c>
      <c r="E38" s="92">
        <v>839848.82</v>
      </c>
      <c r="F38" s="92">
        <v>1415774.9</v>
      </c>
      <c r="G38" s="92">
        <v>696303.82</v>
      </c>
      <c r="H38" s="92">
        <v>149218.71</v>
      </c>
      <c r="I38" s="93">
        <f t="shared" si="2"/>
        <v>31527305.580000002</v>
      </c>
      <c r="J38" s="89">
        <f t="shared" si="3"/>
        <v>12505219.775</v>
      </c>
      <c r="K38" s="89">
        <f t="shared" si="4"/>
        <v>1707859.89</v>
      </c>
      <c r="L38" s="89">
        <f t="shared" si="5"/>
        <v>419924.41</v>
      </c>
      <c r="M38" s="89">
        <f t="shared" si="6"/>
        <v>707887.45</v>
      </c>
      <c r="N38" s="89">
        <f t="shared" si="7"/>
        <v>348151.91</v>
      </c>
      <c r="O38" s="89">
        <f t="shared" si="8"/>
        <v>74609.354999999996</v>
      </c>
      <c r="P38" s="91">
        <f t="shared" si="10"/>
        <v>15763652.790000001</v>
      </c>
      <c r="Q38" s="96">
        <f t="shared" si="9"/>
        <v>3.8037956436583432E-3</v>
      </c>
    </row>
    <row r="39" spans="1:17" ht="12.75" customHeight="1">
      <c r="A39" s="85">
        <v>49</v>
      </c>
      <c r="B39" s="95" t="s">
        <v>23</v>
      </c>
      <c r="C39" s="89">
        <v>24040117.52</v>
      </c>
      <c r="D39" s="92">
        <v>3283201.2</v>
      </c>
      <c r="E39" s="92">
        <v>807265.47</v>
      </c>
      <c r="F39" s="92">
        <v>1360847.53</v>
      </c>
      <c r="G39" s="92">
        <v>669289.55000000005</v>
      </c>
      <c r="H39" s="92">
        <v>143429.51999999999</v>
      </c>
      <c r="I39" s="93">
        <f t="shared" si="2"/>
        <v>30304150.789999999</v>
      </c>
      <c r="J39" s="89">
        <f t="shared" si="3"/>
        <v>12020058.76</v>
      </c>
      <c r="K39" s="89">
        <f t="shared" si="4"/>
        <v>1641600.6</v>
      </c>
      <c r="L39" s="89">
        <f t="shared" si="5"/>
        <v>403632.73499999999</v>
      </c>
      <c r="M39" s="89">
        <f t="shared" si="6"/>
        <v>680423.76500000001</v>
      </c>
      <c r="N39" s="89">
        <f t="shared" si="7"/>
        <v>334644.77500000002</v>
      </c>
      <c r="O39" s="89">
        <f t="shared" si="8"/>
        <v>71714.759999999995</v>
      </c>
      <c r="P39" s="91">
        <f t="shared" si="10"/>
        <v>15152075.395</v>
      </c>
      <c r="Q39" s="96">
        <f t="shared" si="9"/>
        <v>3.6562210007851717E-3</v>
      </c>
    </row>
    <row r="40" spans="1:17" ht="12.75" customHeight="1">
      <c r="A40" s="85">
        <v>48</v>
      </c>
      <c r="B40" s="95" t="s">
        <v>24</v>
      </c>
      <c r="C40" s="89">
        <v>25869692.379999999</v>
      </c>
      <c r="D40" s="92">
        <v>3533069.46</v>
      </c>
      <c r="E40" s="92">
        <v>868702.47</v>
      </c>
      <c r="F40" s="92">
        <v>1464414.93</v>
      </c>
      <c r="G40" s="92">
        <v>720225.88</v>
      </c>
      <c r="H40" s="92">
        <v>154345.23000000001</v>
      </c>
      <c r="I40" s="93">
        <f t="shared" si="2"/>
        <v>32610450.349999998</v>
      </c>
      <c r="J40" s="89">
        <f t="shared" si="3"/>
        <v>12934846.189999999</v>
      </c>
      <c r="K40" s="89">
        <f t="shared" si="4"/>
        <v>1766534.73</v>
      </c>
      <c r="L40" s="89">
        <f t="shared" si="5"/>
        <v>434351.23499999999</v>
      </c>
      <c r="M40" s="89">
        <f t="shared" si="6"/>
        <v>732207.46499999997</v>
      </c>
      <c r="N40" s="89">
        <f t="shared" si="7"/>
        <v>360112.94</v>
      </c>
      <c r="O40" s="89">
        <f t="shared" si="8"/>
        <v>77172.615000000005</v>
      </c>
      <c r="P40" s="91">
        <f t="shared" si="10"/>
        <v>16305225.174999999</v>
      </c>
      <c r="Q40" s="96">
        <f t="shared" si="9"/>
        <v>3.9344779611536563E-3</v>
      </c>
    </row>
    <row r="41" spans="1:17" ht="12.75" customHeight="1">
      <c r="A41" s="85">
        <v>47</v>
      </c>
      <c r="B41" s="95" t="s">
        <v>25</v>
      </c>
      <c r="C41" s="89">
        <v>35554214.07</v>
      </c>
      <c r="D41" s="92">
        <v>4855701.6399999997</v>
      </c>
      <c r="E41" s="92">
        <v>1193908.03</v>
      </c>
      <c r="F41" s="92">
        <v>2012630.12</v>
      </c>
      <c r="G41" s="92">
        <v>989848.07</v>
      </c>
      <c r="H41" s="92">
        <v>212125.58</v>
      </c>
      <c r="I41" s="93">
        <f t="shared" si="2"/>
        <v>44818427.509999998</v>
      </c>
      <c r="J41" s="89">
        <f t="shared" si="3"/>
        <v>17777107.035</v>
      </c>
      <c r="K41" s="89">
        <f t="shared" si="4"/>
        <v>2427850.8199999998</v>
      </c>
      <c r="L41" s="89">
        <f t="shared" si="5"/>
        <v>596954.01500000001</v>
      </c>
      <c r="M41" s="89">
        <f t="shared" si="6"/>
        <v>1006315.06</v>
      </c>
      <c r="N41" s="89">
        <f t="shared" si="7"/>
        <v>494924.03499999997</v>
      </c>
      <c r="O41" s="89">
        <f t="shared" si="8"/>
        <v>106062.79</v>
      </c>
      <c r="P41" s="91">
        <f t="shared" si="10"/>
        <v>22409213.754999999</v>
      </c>
      <c r="Q41" s="96">
        <f t="shared" si="9"/>
        <v>5.4073805604974642E-3</v>
      </c>
    </row>
    <row r="42" spans="1:17" ht="12.75" customHeight="1">
      <c r="A42" s="85">
        <v>45</v>
      </c>
      <c r="B42" s="95" t="s">
        <v>26</v>
      </c>
      <c r="C42" s="89">
        <v>83413469.420000002</v>
      </c>
      <c r="D42" s="92">
        <v>11391924.449999999</v>
      </c>
      <c r="E42" s="92">
        <v>2801018.49</v>
      </c>
      <c r="F42" s="92">
        <v>4721816.1100000003</v>
      </c>
      <c r="G42" s="92">
        <v>2322274.9700000002</v>
      </c>
      <c r="H42" s="92">
        <v>497666.2</v>
      </c>
      <c r="I42" s="93">
        <f t="shared" si="2"/>
        <v>105148169.64</v>
      </c>
      <c r="J42" s="89">
        <f t="shared" si="3"/>
        <v>41706734.710000001</v>
      </c>
      <c r="K42" s="89">
        <f t="shared" si="4"/>
        <v>5695962.2249999996</v>
      </c>
      <c r="L42" s="89">
        <f t="shared" si="5"/>
        <v>1400509.2450000001</v>
      </c>
      <c r="M42" s="89">
        <f t="shared" si="6"/>
        <v>2360908.0550000002</v>
      </c>
      <c r="N42" s="89">
        <f t="shared" si="7"/>
        <v>1161137.4850000001</v>
      </c>
      <c r="O42" s="89">
        <f t="shared" si="8"/>
        <v>248833.1</v>
      </c>
      <c r="P42" s="91">
        <f t="shared" si="10"/>
        <v>52574084.82</v>
      </c>
      <c r="Q42" s="96">
        <f t="shared" si="9"/>
        <v>1.2686214132710557E-2</v>
      </c>
    </row>
    <row r="43" spans="1:17" ht="12.75" customHeight="1">
      <c r="A43" s="85">
        <v>70</v>
      </c>
      <c r="B43" s="95" t="s">
        <v>27</v>
      </c>
      <c r="C43" s="89">
        <v>1726259320.8499999</v>
      </c>
      <c r="D43" s="92">
        <v>235758276.21000001</v>
      </c>
      <c r="E43" s="92">
        <v>57967667.659999996</v>
      </c>
      <c r="F43" s="92">
        <v>97718978.969999999</v>
      </c>
      <c r="G43" s="92">
        <v>48059969.659999996</v>
      </c>
      <c r="H43" s="92">
        <v>10299306.74</v>
      </c>
      <c r="I43" s="93">
        <f t="shared" si="2"/>
        <v>2176063520.0899997</v>
      </c>
      <c r="J43" s="89">
        <f t="shared" si="3"/>
        <v>863129660.42499995</v>
      </c>
      <c r="K43" s="89">
        <f t="shared" si="4"/>
        <v>117879138.105</v>
      </c>
      <c r="L43" s="89">
        <f t="shared" si="5"/>
        <v>28983833.829999998</v>
      </c>
      <c r="M43" s="89">
        <f t="shared" si="6"/>
        <v>48859489.484999999</v>
      </c>
      <c r="N43" s="89">
        <f t="shared" si="7"/>
        <v>24029984.829999998</v>
      </c>
      <c r="O43" s="89">
        <f t="shared" si="8"/>
        <v>5149653.37</v>
      </c>
      <c r="P43" s="91">
        <f t="shared" si="10"/>
        <v>1088031760.0449998</v>
      </c>
      <c r="Q43" s="96">
        <f t="shared" si="9"/>
        <v>0.26254387381879718</v>
      </c>
    </row>
    <row r="44" spans="1:17" ht="12.75" customHeight="1">
      <c r="A44" s="85">
        <v>50</v>
      </c>
      <c r="B44" s="95" t="s">
        <v>127</v>
      </c>
      <c r="C44" s="89">
        <v>9169501.2799999993</v>
      </c>
      <c r="D44" s="92">
        <v>1252294.94</v>
      </c>
      <c r="E44" s="92">
        <v>307911.21000000002</v>
      </c>
      <c r="F44" s="92">
        <v>519061.24</v>
      </c>
      <c r="G44" s="92">
        <v>255283.75</v>
      </c>
      <c r="H44" s="92">
        <v>54707.6</v>
      </c>
      <c r="I44" s="93">
        <f t="shared" si="2"/>
        <v>11558760.02</v>
      </c>
      <c r="J44" s="89">
        <f t="shared" si="3"/>
        <v>4584750.6399999997</v>
      </c>
      <c r="K44" s="89">
        <f t="shared" si="4"/>
        <v>626147.47</v>
      </c>
      <c r="L44" s="89">
        <f t="shared" si="5"/>
        <v>153955.60500000001</v>
      </c>
      <c r="M44" s="89">
        <f t="shared" si="6"/>
        <v>259530.62</v>
      </c>
      <c r="N44" s="89">
        <f t="shared" si="7"/>
        <v>127641.875</v>
      </c>
      <c r="O44" s="89">
        <f t="shared" si="8"/>
        <v>27353.8</v>
      </c>
      <c r="P44" s="91">
        <f t="shared" si="10"/>
        <v>5779380.0099999998</v>
      </c>
      <c r="Q44" s="96">
        <f t="shared" si="9"/>
        <v>1.3945740113630166E-3</v>
      </c>
    </row>
    <row r="45" spans="1:17" ht="12.75" customHeight="1">
      <c r="A45" s="85">
        <v>51</v>
      </c>
      <c r="B45" s="95" t="s">
        <v>128</v>
      </c>
      <c r="C45" s="89">
        <v>38260390.350000001</v>
      </c>
      <c r="D45" s="92">
        <v>5225288.9000000004</v>
      </c>
      <c r="E45" s="92">
        <v>1284781.24</v>
      </c>
      <c r="F45" s="92">
        <v>2165819.6</v>
      </c>
      <c r="G45" s="92">
        <v>1065189.44</v>
      </c>
      <c r="H45" s="92">
        <v>228271.32</v>
      </c>
      <c r="I45" s="93">
        <f t="shared" si="2"/>
        <v>48229740.850000001</v>
      </c>
      <c r="J45" s="89">
        <f t="shared" si="3"/>
        <v>19130195.175000001</v>
      </c>
      <c r="K45" s="89">
        <f t="shared" si="4"/>
        <v>2612644.4500000002</v>
      </c>
      <c r="L45" s="89">
        <f t="shared" si="5"/>
        <v>642390.62</v>
      </c>
      <c r="M45" s="89">
        <f t="shared" si="6"/>
        <v>1082909.8</v>
      </c>
      <c r="N45" s="89">
        <f t="shared" si="7"/>
        <v>532594.72</v>
      </c>
      <c r="O45" s="89">
        <f t="shared" si="8"/>
        <v>114135.66</v>
      </c>
      <c r="P45" s="91">
        <f t="shared" si="10"/>
        <v>24114870.425000001</v>
      </c>
      <c r="Q45" s="96">
        <f t="shared" si="9"/>
        <v>5.8189583526091111E-3</v>
      </c>
    </row>
    <row r="46" spans="1:17" ht="12.75" customHeight="1">
      <c r="A46" s="85">
        <v>52</v>
      </c>
      <c r="B46" s="95" t="s">
        <v>129</v>
      </c>
      <c r="C46" s="89">
        <v>18909383.170000002</v>
      </c>
      <c r="D46" s="92">
        <v>2582487.77</v>
      </c>
      <c r="E46" s="92">
        <v>634975.77</v>
      </c>
      <c r="F46" s="92">
        <v>1070410.22</v>
      </c>
      <c r="G46" s="92">
        <v>526447.19999999995</v>
      </c>
      <c r="H46" s="92">
        <v>112818.24000000001</v>
      </c>
      <c r="I46" s="93">
        <f t="shared" si="2"/>
        <v>23836522.369999997</v>
      </c>
      <c r="J46" s="89">
        <f t="shared" si="3"/>
        <v>9454691.5850000009</v>
      </c>
      <c r="K46" s="89">
        <f t="shared" si="4"/>
        <v>1291243.885</v>
      </c>
      <c r="L46" s="89">
        <f t="shared" si="5"/>
        <v>317487.88500000001</v>
      </c>
      <c r="M46" s="89">
        <f t="shared" si="6"/>
        <v>535205.11</v>
      </c>
      <c r="N46" s="89">
        <f t="shared" si="7"/>
        <v>263223.59999999998</v>
      </c>
      <c r="O46" s="89">
        <f t="shared" si="8"/>
        <v>56409.120000000003</v>
      </c>
      <c r="P46" s="91">
        <f t="shared" si="10"/>
        <v>11918261.184999999</v>
      </c>
      <c r="Q46" s="96">
        <f t="shared" si="9"/>
        <v>2.8758962519299003E-3</v>
      </c>
    </row>
    <row r="47" spans="1:17" ht="12.75" customHeight="1">
      <c r="A47" s="85">
        <v>53</v>
      </c>
      <c r="B47" s="95" t="s">
        <v>28</v>
      </c>
      <c r="C47" s="89">
        <v>21189369.57</v>
      </c>
      <c r="D47" s="92">
        <v>2893869.53</v>
      </c>
      <c r="E47" s="92">
        <v>711537.55</v>
      </c>
      <c r="F47" s="92">
        <v>1199474.22</v>
      </c>
      <c r="G47" s="92">
        <v>589923.22</v>
      </c>
      <c r="H47" s="92">
        <v>126421.22</v>
      </c>
      <c r="I47" s="93">
        <f t="shared" si="2"/>
        <v>26710595.309999999</v>
      </c>
      <c r="J47" s="89">
        <f t="shared" si="3"/>
        <v>10594684.785</v>
      </c>
      <c r="K47" s="89">
        <f t="shared" si="4"/>
        <v>1446934.7649999999</v>
      </c>
      <c r="L47" s="89">
        <f t="shared" si="5"/>
        <v>355768.77500000002</v>
      </c>
      <c r="M47" s="89">
        <f t="shared" si="6"/>
        <v>599737.11</v>
      </c>
      <c r="N47" s="89">
        <f t="shared" si="7"/>
        <v>294961.61</v>
      </c>
      <c r="O47" s="89">
        <f t="shared" si="8"/>
        <v>63210.61</v>
      </c>
      <c r="P47" s="91">
        <f t="shared" si="10"/>
        <v>13355297.654999999</v>
      </c>
      <c r="Q47" s="96">
        <f t="shared" si="9"/>
        <v>3.2226555428876255E-3</v>
      </c>
    </row>
    <row r="48" spans="1:17" ht="12.75" customHeight="1">
      <c r="A48" s="85">
        <v>54</v>
      </c>
      <c r="B48" s="95" t="s">
        <v>29</v>
      </c>
      <c r="C48" s="89">
        <v>60965138.740000002</v>
      </c>
      <c r="D48" s="92">
        <v>8326116.3899999997</v>
      </c>
      <c r="E48" s="92">
        <v>2047205.11</v>
      </c>
      <c r="F48" s="92">
        <v>3451075.42</v>
      </c>
      <c r="G48" s="92">
        <v>1697301.61</v>
      </c>
      <c r="H48" s="92">
        <v>363733.69</v>
      </c>
      <c r="I48" s="93">
        <f t="shared" si="2"/>
        <v>76850570.959999993</v>
      </c>
      <c r="J48" s="89">
        <f t="shared" si="3"/>
        <v>30482569.370000001</v>
      </c>
      <c r="K48" s="89">
        <f t="shared" si="4"/>
        <v>4163058.1949999998</v>
      </c>
      <c r="L48" s="89">
        <f t="shared" si="5"/>
        <v>1023602.5550000001</v>
      </c>
      <c r="M48" s="89">
        <f t="shared" si="6"/>
        <v>1725537.71</v>
      </c>
      <c r="N48" s="89">
        <f t="shared" si="7"/>
        <v>848650.80500000005</v>
      </c>
      <c r="O48" s="89">
        <f t="shared" si="8"/>
        <v>181866.845</v>
      </c>
      <c r="P48" s="91">
        <f t="shared" si="10"/>
        <v>38425285.479999997</v>
      </c>
      <c r="Q48" s="96">
        <f t="shared" si="9"/>
        <v>9.2720853131117564E-3</v>
      </c>
    </row>
    <row r="49" spans="1:17" ht="12.75" customHeight="1">
      <c r="A49" s="85">
        <v>55</v>
      </c>
      <c r="B49" s="95" t="s">
        <v>30</v>
      </c>
      <c r="C49" s="89">
        <v>52786864.539999999</v>
      </c>
      <c r="D49" s="92">
        <v>7209195.0700000003</v>
      </c>
      <c r="E49" s="92">
        <v>1772579.23</v>
      </c>
      <c r="F49" s="92">
        <v>2988124.93</v>
      </c>
      <c r="G49" s="92">
        <v>1469614.14</v>
      </c>
      <c r="H49" s="92">
        <v>314940</v>
      </c>
      <c r="I49" s="93">
        <f t="shared" si="2"/>
        <v>66541317.909999996</v>
      </c>
      <c r="J49" s="89">
        <f t="shared" si="3"/>
        <v>26393432.27</v>
      </c>
      <c r="K49" s="89">
        <f t="shared" si="4"/>
        <v>3604597.5350000001</v>
      </c>
      <c r="L49" s="89">
        <f t="shared" si="5"/>
        <v>886289.61499999999</v>
      </c>
      <c r="M49" s="89">
        <f t="shared" si="6"/>
        <v>1494062.4650000001</v>
      </c>
      <c r="N49" s="89">
        <f t="shared" si="7"/>
        <v>734807.07</v>
      </c>
      <c r="O49" s="89">
        <f t="shared" si="8"/>
        <v>157470</v>
      </c>
      <c r="P49" s="91">
        <f t="shared" si="10"/>
        <v>33270658.954999998</v>
      </c>
      <c r="Q49" s="96">
        <f t="shared" si="9"/>
        <v>8.0282653570595067E-3</v>
      </c>
    </row>
    <row r="50" spans="1:17" ht="12.75" customHeight="1">
      <c r="A50" s="85">
        <v>58</v>
      </c>
      <c r="B50" s="95" t="s">
        <v>130</v>
      </c>
      <c r="C50" s="89">
        <v>474720406.57999998</v>
      </c>
      <c r="D50" s="92">
        <v>64833402.130000003</v>
      </c>
      <c r="E50" s="92">
        <v>15941078.16</v>
      </c>
      <c r="F50" s="92">
        <v>26872667.890000001</v>
      </c>
      <c r="G50" s="92">
        <v>13216466.42</v>
      </c>
      <c r="H50" s="92">
        <v>2832303.94</v>
      </c>
      <c r="I50" s="93">
        <f t="shared" si="2"/>
        <v>598416325.12</v>
      </c>
      <c r="J50" s="89">
        <f t="shared" si="3"/>
        <v>237360203.28999999</v>
      </c>
      <c r="K50" s="89">
        <f t="shared" si="4"/>
        <v>32416701.065000001</v>
      </c>
      <c r="L50" s="89">
        <f t="shared" si="5"/>
        <v>7970539.0800000001</v>
      </c>
      <c r="M50" s="89">
        <f t="shared" si="6"/>
        <v>13436333.945</v>
      </c>
      <c r="N50" s="89">
        <f t="shared" si="7"/>
        <v>6608233.21</v>
      </c>
      <c r="O50" s="89">
        <f t="shared" si="8"/>
        <v>1416151.97</v>
      </c>
      <c r="P50" s="91">
        <f t="shared" si="10"/>
        <v>299208162.56</v>
      </c>
      <c r="Q50" s="96">
        <f t="shared" si="9"/>
        <v>7.2199427407760433E-2</v>
      </c>
    </row>
    <row r="51" spans="1:17" ht="12.75" customHeight="1">
      <c r="A51" s="85">
        <v>31</v>
      </c>
      <c r="B51" s="95" t="s">
        <v>131</v>
      </c>
      <c r="C51" s="89">
        <v>917280808.95000005</v>
      </c>
      <c r="D51" s="92">
        <v>125274655.84</v>
      </c>
      <c r="E51" s="92">
        <v>30802225.620000001</v>
      </c>
      <c r="F51" s="92">
        <v>51924842.920000002</v>
      </c>
      <c r="G51" s="92">
        <v>25537581.359999999</v>
      </c>
      <c r="H51" s="92">
        <v>5472733.04</v>
      </c>
      <c r="I51" s="93">
        <f t="shared" si="2"/>
        <v>1156292847.73</v>
      </c>
      <c r="J51" s="89">
        <f t="shared" si="3"/>
        <v>458640404.47500002</v>
      </c>
      <c r="K51" s="89">
        <f t="shared" si="4"/>
        <v>62637327.920000002</v>
      </c>
      <c r="L51" s="89">
        <f t="shared" si="5"/>
        <v>15401112.810000001</v>
      </c>
      <c r="M51" s="89">
        <f t="shared" si="6"/>
        <v>25962421.460000001</v>
      </c>
      <c r="N51" s="89">
        <f t="shared" si="7"/>
        <v>12768790.68</v>
      </c>
      <c r="O51" s="89">
        <f t="shared" si="8"/>
        <v>2736366.52</v>
      </c>
      <c r="P51" s="91">
        <f t="shared" si="10"/>
        <v>578146423.86500001</v>
      </c>
      <c r="Q51" s="96">
        <f t="shared" si="9"/>
        <v>0.13950769392037193</v>
      </c>
    </row>
    <row r="52" spans="1:17" ht="12.75" customHeight="1">
      <c r="A52" s="85">
        <v>57</v>
      </c>
      <c r="B52" s="95" t="s">
        <v>31</v>
      </c>
      <c r="C52" s="89">
        <v>247174909.66</v>
      </c>
      <c r="D52" s="92">
        <v>33757112.799999997</v>
      </c>
      <c r="E52" s="92">
        <v>8300116.2400000002</v>
      </c>
      <c r="F52" s="92">
        <v>13991918.539999999</v>
      </c>
      <c r="G52" s="92">
        <v>6881479.8099999996</v>
      </c>
      <c r="H52" s="92">
        <v>1474709.03</v>
      </c>
      <c r="I52" s="93">
        <f t="shared" si="2"/>
        <v>311580246.07999998</v>
      </c>
      <c r="J52" s="89">
        <f t="shared" si="3"/>
        <v>123587454.83</v>
      </c>
      <c r="K52" s="89">
        <f t="shared" si="4"/>
        <v>16878556.399999999</v>
      </c>
      <c r="L52" s="89">
        <f t="shared" si="5"/>
        <v>4150058.12</v>
      </c>
      <c r="M52" s="89">
        <f t="shared" si="6"/>
        <v>6995959.2699999996</v>
      </c>
      <c r="N52" s="89">
        <f t="shared" si="7"/>
        <v>3440739.9049999998</v>
      </c>
      <c r="O52" s="89">
        <f t="shared" si="8"/>
        <v>737354.51500000001</v>
      </c>
      <c r="P52" s="91">
        <f t="shared" si="10"/>
        <v>155790123.03999999</v>
      </c>
      <c r="Q52" s="96">
        <f t="shared" si="9"/>
        <v>3.7592415872066999E-2</v>
      </c>
    </row>
    <row r="53" spans="1:17" ht="12.75" customHeight="1">
      <c r="A53" s="85">
        <v>56</v>
      </c>
      <c r="B53" s="95" t="s">
        <v>32</v>
      </c>
      <c r="C53" s="89">
        <v>79956792.879999995</v>
      </c>
      <c r="D53" s="92">
        <v>10919840.050000001</v>
      </c>
      <c r="E53" s="92">
        <v>2684943.53</v>
      </c>
      <c r="F53" s="92">
        <v>4526142.78</v>
      </c>
      <c r="G53" s="92">
        <v>2226039.27</v>
      </c>
      <c r="H53" s="92">
        <v>477042.77</v>
      </c>
      <c r="I53" s="93">
        <f t="shared" si="2"/>
        <v>100790801.27999999</v>
      </c>
      <c r="J53" s="89">
        <f t="shared" si="3"/>
        <v>39978396.439999998</v>
      </c>
      <c r="K53" s="89">
        <f t="shared" si="4"/>
        <v>5459920.0250000004</v>
      </c>
      <c r="L53" s="89">
        <f t="shared" si="5"/>
        <v>1342471.7649999999</v>
      </c>
      <c r="M53" s="89">
        <f t="shared" si="6"/>
        <v>2263071.39</v>
      </c>
      <c r="N53" s="89">
        <f t="shared" si="7"/>
        <v>1113019.635</v>
      </c>
      <c r="O53" s="89">
        <f t="shared" si="8"/>
        <v>238521.38500000001</v>
      </c>
      <c r="P53" s="91">
        <f t="shared" si="10"/>
        <v>50395400.639999993</v>
      </c>
      <c r="Q53" s="96">
        <f t="shared" si="9"/>
        <v>1.216049401547678E-2</v>
      </c>
    </row>
    <row r="54" spans="1:17" ht="12.75" customHeight="1">
      <c r="A54" s="85">
        <v>59</v>
      </c>
      <c r="B54" s="95" t="s">
        <v>33</v>
      </c>
      <c r="C54" s="89">
        <v>16102991.52</v>
      </c>
      <c r="D54" s="92">
        <v>2199213.92</v>
      </c>
      <c r="E54" s="92">
        <v>540737.32999999996</v>
      </c>
      <c r="F54" s="92">
        <v>911547.8</v>
      </c>
      <c r="G54" s="92">
        <v>448315.77</v>
      </c>
      <c r="H54" s="92">
        <v>96074.59</v>
      </c>
      <c r="I54" s="93">
        <f t="shared" si="2"/>
        <v>20298880.929999996</v>
      </c>
      <c r="J54" s="89">
        <f t="shared" si="3"/>
        <v>8051495.7599999998</v>
      </c>
      <c r="K54" s="89">
        <f t="shared" si="4"/>
        <v>1099606.96</v>
      </c>
      <c r="L54" s="89">
        <f t="shared" si="5"/>
        <v>270368.66499999998</v>
      </c>
      <c r="M54" s="89">
        <f t="shared" si="6"/>
        <v>455773.9</v>
      </c>
      <c r="N54" s="89">
        <f t="shared" si="7"/>
        <v>224157.88500000001</v>
      </c>
      <c r="O54" s="89">
        <f t="shared" si="8"/>
        <v>48037.294999999998</v>
      </c>
      <c r="P54" s="91">
        <f t="shared" si="10"/>
        <v>10149440.464999998</v>
      </c>
      <c r="Q54" s="96">
        <f t="shared" si="9"/>
        <v>2.4490768694694588E-3</v>
      </c>
    </row>
    <row r="55" spans="1:17" ht="12.75" customHeight="1">
      <c r="A55" s="85">
        <v>60</v>
      </c>
      <c r="B55" s="95" t="s">
        <v>34</v>
      </c>
      <c r="C55" s="89">
        <v>21809438.43</v>
      </c>
      <c r="D55" s="92">
        <v>2978553.42</v>
      </c>
      <c r="E55" s="92">
        <v>732359.42</v>
      </c>
      <c r="F55" s="92">
        <v>1234574.68</v>
      </c>
      <c r="G55" s="92">
        <v>607186.26</v>
      </c>
      <c r="H55" s="92">
        <v>130120.71</v>
      </c>
      <c r="I55" s="93">
        <f t="shared" si="2"/>
        <v>27492232.920000006</v>
      </c>
      <c r="J55" s="89">
        <f t="shared" si="3"/>
        <v>10904719.215</v>
      </c>
      <c r="K55" s="89">
        <f t="shared" si="4"/>
        <v>1489276.71</v>
      </c>
      <c r="L55" s="89">
        <f t="shared" si="5"/>
        <v>366179.71</v>
      </c>
      <c r="M55" s="89">
        <f t="shared" si="6"/>
        <v>617287.34</v>
      </c>
      <c r="N55" s="89">
        <f t="shared" si="7"/>
        <v>303593.13</v>
      </c>
      <c r="O55" s="89">
        <f t="shared" si="8"/>
        <v>65060.355000000003</v>
      </c>
      <c r="P55" s="91">
        <f t="shared" si="10"/>
        <v>13746116.460000003</v>
      </c>
      <c r="Q55" s="96">
        <f t="shared" si="9"/>
        <v>3.3169607707255427E-3</v>
      </c>
    </row>
    <row r="56" spans="1:17" s="43" customFormat="1" ht="16.5" customHeight="1">
      <c r="B56" s="97" t="s">
        <v>35</v>
      </c>
      <c r="C56" s="98">
        <f>SUM(C5:C55)</f>
        <v>6575127028.2700005</v>
      </c>
      <c r="D56" s="98">
        <f t="shared" ref="D56:P56" si="11">SUM(D5:D55)</f>
        <v>897976680.14999986</v>
      </c>
      <c r="E56" s="98">
        <f t="shared" si="11"/>
        <v>220792307.28000006</v>
      </c>
      <c r="F56" s="98">
        <f t="shared" si="11"/>
        <v>372200568.00000006</v>
      </c>
      <c r="G56" s="98">
        <f t="shared" si="11"/>
        <v>183055003.20999998</v>
      </c>
      <c r="H56" s="98">
        <f t="shared" si="11"/>
        <v>39228897.610000014</v>
      </c>
      <c r="I56" s="99">
        <f t="shared" si="11"/>
        <v>8288380484.5199995</v>
      </c>
      <c r="J56" s="98">
        <f t="shared" si="11"/>
        <v>3287563514.1350002</v>
      </c>
      <c r="K56" s="98">
        <f t="shared" si="11"/>
        <v>448988340.07499993</v>
      </c>
      <c r="L56" s="98">
        <f t="shared" si="11"/>
        <v>110396153.64000003</v>
      </c>
      <c r="M56" s="98">
        <f t="shared" si="11"/>
        <v>186100284.00000003</v>
      </c>
      <c r="N56" s="98">
        <f t="shared" si="11"/>
        <v>91527501.604999989</v>
      </c>
      <c r="O56" s="98">
        <f t="shared" si="11"/>
        <v>19614448.805000007</v>
      </c>
      <c r="P56" s="100">
        <f t="shared" si="11"/>
        <v>4144190242.2599998</v>
      </c>
      <c r="Q56" s="101">
        <f t="shared" ref="Q56" si="12">SUM(Q5:Q55)</f>
        <v>0.99999999999999989</v>
      </c>
    </row>
    <row r="58" spans="1:17">
      <c r="B58" s="6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88"/>
    </row>
    <row r="59" spans="1:17">
      <c r="B59" s="6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88"/>
    </row>
  </sheetData>
  <mergeCells count="5">
    <mergeCell ref="B1:P1"/>
    <mergeCell ref="B3:B4"/>
    <mergeCell ref="C3:I3"/>
    <mergeCell ref="J3:P3"/>
    <mergeCell ref="Q3:Q4"/>
  </mergeCells>
  <printOptions horizontalCentered="1"/>
  <pageMargins left="0.19685039370078741" right="0.19685039370078741" top="0.39370078740157483" bottom="0.19685039370078741" header="0.11811023622047245" footer="0.15748031496062992"/>
  <pageSetup scale="85" orientation="portrait" r:id="rId1"/>
  <headerFooter alignWithMargins="0">
    <oddHeader>&amp;LANEXO 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zoomScaleSheetLayoutView="100" workbookViewId="0">
      <selection activeCell="C5" sqref="C5"/>
    </sheetView>
  </sheetViews>
  <sheetFormatPr baseColWidth="10" defaultColWidth="9.7109375" defaultRowHeight="12.75"/>
  <cols>
    <col min="1" max="1" width="3" style="2" bestFit="1" customWidth="1"/>
    <col min="2" max="2" width="26.28515625" style="2" customWidth="1"/>
    <col min="3" max="3" width="13.28515625" style="2" bestFit="1" customWidth="1"/>
    <col min="4" max="8" width="11.7109375" style="2" customWidth="1"/>
    <col min="9" max="9" width="5.42578125" style="2" customWidth="1"/>
    <col min="10" max="16384" width="9.7109375" style="2"/>
  </cols>
  <sheetData>
    <row r="1" spans="1:8" ht="47.25" customHeight="1">
      <c r="B1" s="257" t="s">
        <v>183</v>
      </c>
      <c r="C1" s="258"/>
      <c r="D1" s="258"/>
      <c r="E1" s="258"/>
      <c r="F1" s="258"/>
      <c r="G1" s="258"/>
      <c r="H1" s="258"/>
    </row>
    <row r="2" spans="1:8" ht="8.25" customHeight="1"/>
    <row r="3" spans="1:8">
      <c r="B3" s="259" t="s">
        <v>0</v>
      </c>
      <c r="C3" s="260" t="s">
        <v>182</v>
      </c>
      <c r="D3" s="260"/>
      <c r="E3" s="260"/>
      <c r="F3" s="260"/>
      <c r="G3" s="260"/>
      <c r="H3" s="260"/>
    </row>
    <row r="4" spans="1:8">
      <c r="B4" s="259"/>
      <c r="C4" s="104" t="s">
        <v>73</v>
      </c>
      <c r="D4" s="105" t="s">
        <v>134</v>
      </c>
      <c r="E4" s="105" t="s">
        <v>74</v>
      </c>
      <c r="F4" s="105" t="s">
        <v>83</v>
      </c>
      <c r="G4" s="105" t="s">
        <v>93</v>
      </c>
      <c r="H4" s="105" t="s">
        <v>94</v>
      </c>
    </row>
    <row r="5" spans="1:8" ht="12.75" customHeight="1">
      <c r="A5" s="85">
        <v>15</v>
      </c>
      <c r="B5" s="95" t="s">
        <v>1</v>
      </c>
      <c r="C5" s="89">
        <f>IF('PART 2025'!I$18&lt;1,0,'COEF Art 14 F I'!$AD6*'PART 2025'!$I$18)</f>
        <v>1724024.9201486583</v>
      </c>
      <c r="D5" s="89">
        <f>IF('PART 2025'!I$19&lt;1,0,'COEF Art 14 F I'!$AD6*'PART 2025'!$I$19)</f>
        <v>301010.00861762941</v>
      </c>
      <c r="E5" s="89">
        <f>IF('PART 2025'!I$20&lt;1,0,'COEF Art 14 F I'!$AD6*'PART 2025'!$I$20)</f>
        <v>28932.859636563193</v>
      </c>
      <c r="F5" s="89">
        <f>IF('PART 2025'!I$21&lt;1,0,'COEF Art 14 F I'!$AD6*'PART 2025'!$I$21)</f>
        <v>144732.69441983732</v>
      </c>
      <c r="G5" s="89">
        <f>IF('PART 2025'!I$22&lt;1,0,'COEF Art 14 F I'!$AD6*'PART 2025'!$I$22)</f>
        <v>70000.205757270815</v>
      </c>
      <c r="H5" s="106">
        <f>IF('PART 2025'!I$23&lt;1,0,'COEF Art 14 F I'!$AD6*'PART 2025'!$I$23)</f>
        <v>4083.3446477972157</v>
      </c>
    </row>
    <row r="6" spans="1:8" ht="12.75" customHeight="1">
      <c r="A6" s="85">
        <v>11</v>
      </c>
      <c r="B6" s="95" t="s">
        <v>2</v>
      </c>
      <c r="C6" s="89">
        <f>IF('PART 2025'!I$18&lt;1,0,'COEF Art 14 F I'!$AD7*'PART 2025'!$I$18)</f>
        <v>2753024.8992260974</v>
      </c>
      <c r="D6" s="89">
        <f>IF('PART 2025'!I$19&lt;1,0,'COEF Art 14 F I'!$AD7*'PART 2025'!$I$19)</f>
        <v>480670.57439583889</v>
      </c>
      <c r="E6" s="89">
        <f>IF('PART 2025'!I$20&lt;1,0,'COEF Art 14 F I'!$AD7*'PART 2025'!$I$20)</f>
        <v>46201.700482614797</v>
      </c>
      <c r="F6" s="89">
        <f>IF('PART 2025'!I$21&lt;1,0,'COEF Art 14 F I'!$AD7*'PART 2025'!$I$21)</f>
        <v>231117.72156723621</v>
      </c>
      <c r="G6" s="89">
        <f>IF('PART 2025'!I$22&lt;1,0,'COEF Art 14 F I'!$AD7*'PART 2025'!$I$22)</f>
        <v>111780.46624993069</v>
      </c>
      <c r="H6" s="106">
        <f>IF('PART 2025'!I$23&lt;1,0,'COEF Art 14 F I'!$AD7*'PART 2025'!$I$23)</f>
        <v>6520.5260992039621</v>
      </c>
    </row>
    <row r="7" spans="1:8" ht="12.75" customHeight="1">
      <c r="A7" s="85">
        <v>12</v>
      </c>
      <c r="B7" s="95" t="s">
        <v>132</v>
      </c>
      <c r="C7" s="89">
        <f>IF('PART 2025'!I$18&lt;1,0,'COEF Art 14 F I'!$AD8*'PART 2025'!$I$18)</f>
        <v>3439677.1103875246</v>
      </c>
      <c r="D7" s="89">
        <f>IF('PART 2025'!I$19&lt;1,0,'COEF Art 14 F I'!$AD8*'PART 2025'!$I$19)</f>
        <v>600558.16162467853</v>
      </c>
      <c r="E7" s="89">
        <f>IF('PART 2025'!I$20&lt;1,0,'COEF Art 14 F I'!$AD8*'PART 2025'!$I$20)</f>
        <v>57725.206791883378</v>
      </c>
      <c r="F7" s="89">
        <f>IF('PART 2025'!I$21&lt;1,0,'COEF Art 14 F I'!$AD8*'PART 2025'!$I$21)</f>
        <v>288762.49426702008</v>
      </c>
      <c r="G7" s="89">
        <f>IF('PART 2025'!I$22&lt;1,0,'COEF Art 14 F I'!$AD8*'PART 2025'!$I$22)</f>
        <v>139660.45539813876</v>
      </c>
      <c r="H7" s="106">
        <f>IF('PART 2025'!I$23&lt;1,0,'COEF Art 14 F I'!$AD8*'PART 2025'!$I$23)</f>
        <v>8146.8585254790823</v>
      </c>
    </row>
    <row r="8" spans="1:8" ht="12.75" customHeight="1">
      <c r="A8" s="85">
        <v>13</v>
      </c>
      <c r="B8" s="95" t="s">
        <v>3</v>
      </c>
      <c r="C8" s="89">
        <f>IF('PART 2025'!I$18&lt;1,0,'COEF Art 14 F I'!$AD9*'PART 2025'!$I$18)</f>
        <v>12785269.838289572</v>
      </c>
      <c r="D8" s="89">
        <f>IF('PART 2025'!I$19&lt;1,0,'COEF Art 14 F I'!$AD9*'PART 2025'!$I$19)</f>
        <v>2232272.9441001439</v>
      </c>
      <c r="E8" s="89">
        <f>IF('PART 2025'!I$20&lt;1,0,'COEF Art 14 F I'!$AD9*'PART 2025'!$I$20)</f>
        <v>214564.42614235549</v>
      </c>
      <c r="F8" s="89">
        <f>IF('PART 2025'!I$21&lt;1,0,'COEF Art 14 F I'!$AD9*'PART 2025'!$I$21)</f>
        <v>1073329.3532791673</v>
      </c>
      <c r="G8" s="89">
        <f>IF('PART 2025'!I$22&lt;1,0,'COEF Art 14 F I'!$AD9*'PART 2025'!$I$22)</f>
        <v>519117.50745768071</v>
      </c>
      <c r="H8" s="106">
        <f>IF('PART 2025'!I$23&lt;1,0,'COEF Art 14 F I'!$AD9*'PART 2025'!$I$23)</f>
        <v>30281.849499206335</v>
      </c>
    </row>
    <row r="9" spans="1:8" ht="12.75" customHeight="1">
      <c r="A9" s="85">
        <v>14</v>
      </c>
      <c r="B9" s="95" t="s">
        <v>133</v>
      </c>
      <c r="C9" s="89">
        <f>IF('PART 2025'!I$18&lt;1,0,'COEF Art 14 F I'!$AD10*'PART 2025'!$I$18)</f>
        <v>11442328.381466959</v>
      </c>
      <c r="D9" s="89">
        <f>IF('PART 2025'!I$19&lt;1,0,'COEF Art 14 F I'!$AD10*'PART 2025'!$I$19)</f>
        <v>1997799.0598964922</v>
      </c>
      <c r="E9" s="89">
        <f>IF('PART 2025'!I$20&lt;1,0,'COEF Art 14 F I'!$AD10*'PART 2025'!$I$20)</f>
        <v>192026.96962634413</v>
      </c>
      <c r="F9" s="89">
        <f>IF('PART 2025'!I$21&lt;1,0,'COEF Art 14 F I'!$AD10*'PART 2025'!$I$21)</f>
        <v>960588.79296448315</v>
      </c>
      <c r="G9" s="89">
        <f>IF('PART 2025'!I$22&lt;1,0,'COEF Art 14 F I'!$AD10*'PART 2025'!$I$22)</f>
        <v>464590.34999092785</v>
      </c>
      <c r="H9" s="106">
        <f>IF('PART 2025'!I$23&lt;1,0,'COEF Art 14 F I'!$AD10*'PART 2025'!$I$23)</f>
        <v>27101.099182935519</v>
      </c>
    </row>
    <row r="10" spans="1:8" ht="12.75" customHeight="1">
      <c r="A10" s="85">
        <v>17</v>
      </c>
      <c r="B10" s="95" t="s">
        <v>4</v>
      </c>
      <c r="C10" s="89">
        <f>IF('PART 2025'!I$18&lt;1,0,'COEF Art 14 F I'!$AD11*'PART 2025'!$I$18)</f>
        <v>178766719.53077868</v>
      </c>
      <c r="D10" s="89">
        <f>IF('PART 2025'!I$19&lt;1,0,'COEF Art 14 F I'!$AD11*'PART 2025'!$I$19)</f>
        <v>31212177.479351681</v>
      </c>
      <c r="E10" s="89">
        <f>IF('PART 2025'!I$20&lt;1,0,'COEF Art 14 F I'!$AD11*'PART 2025'!$I$20)</f>
        <v>3000091.4391811057</v>
      </c>
      <c r="F10" s="89">
        <f>IF('PART 2025'!I$21&lt;1,0,'COEF Art 14 F I'!$AD11*'PART 2025'!$I$21)</f>
        <v>15007549.303900991</v>
      </c>
      <c r="G10" s="89">
        <f>IF('PART 2025'!I$22&lt;1,0,'COEF Art 14 F I'!$AD11*'PART 2025'!$I$22)</f>
        <v>7258425.9098921875</v>
      </c>
      <c r="H10" s="106">
        <f>IF('PART 2025'!I$23&lt;1,0,'COEF Art 14 F I'!$AD11*'PART 2025'!$I$23)</f>
        <v>423408.10673277738</v>
      </c>
    </row>
    <row r="11" spans="1:8" ht="12.75" customHeight="1">
      <c r="A11" s="85">
        <v>16</v>
      </c>
      <c r="B11" s="95" t="s">
        <v>5</v>
      </c>
      <c r="C11" s="89">
        <f>IF('PART 2025'!I$18&lt;1,0,'COEF Art 14 F I'!$AD12*'PART 2025'!$I$18)</f>
        <v>9929574.3084340412</v>
      </c>
      <c r="D11" s="89">
        <f>IF('PART 2025'!I$19&lt;1,0,'COEF Art 14 F I'!$AD12*'PART 2025'!$I$19)</f>
        <v>1733676.3600223348</v>
      </c>
      <c r="E11" s="89">
        <f>IF('PART 2025'!I$20&lt;1,0,'COEF Art 14 F I'!$AD12*'PART 2025'!$I$20)</f>
        <v>166639.69085317734</v>
      </c>
      <c r="F11" s="89">
        <f>IF('PART 2025'!I$21&lt;1,0,'COEF Art 14 F I'!$AD12*'PART 2025'!$I$21)</f>
        <v>833592.38448695478</v>
      </c>
      <c r="G11" s="89">
        <f>IF('PART 2025'!I$22&lt;1,0,'COEF Art 14 F I'!$AD12*'PART 2025'!$I$22)</f>
        <v>403168.32810778549</v>
      </c>
      <c r="H11" s="106">
        <f>IF('PART 2025'!I$23&lt;1,0,'COEF Art 14 F I'!$AD12*'PART 2025'!$I$23)</f>
        <v>23518.148510146078</v>
      </c>
    </row>
    <row r="12" spans="1:8" ht="12.75" customHeight="1">
      <c r="A12" s="85">
        <v>18</v>
      </c>
      <c r="B12" s="95" t="s">
        <v>6</v>
      </c>
      <c r="C12" s="89">
        <f>IF('PART 2025'!I$18&lt;1,0,'COEF Art 14 F I'!$AD13*'PART 2025'!$I$18)</f>
        <v>6061788.3457994964</v>
      </c>
      <c r="D12" s="89">
        <f>IF('PART 2025'!I$19&lt;1,0,'COEF Art 14 F I'!$AD13*'PART 2025'!$I$19)</f>
        <v>1058371.5704353137</v>
      </c>
      <c r="E12" s="89">
        <f>IF('PART 2025'!I$20&lt;1,0,'COEF Art 14 F I'!$AD13*'PART 2025'!$I$20)</f>
        <v>101729.8934057452</v>
      </c>
      <c r="F12" s="89">
        <f>IF('PART 2025'!I$21&lt;1,0,'COEF Art 14 F I'!$AD13*'PART 2025'!$I$21)</f>
        <v>508889.95282891794</v>
      </c>
      <c r="G12" s="89">
        <f>IF('PART 2025'!I$22&lt;1,0,'COEF Art 14 F I'!$AD13*'PART 2025'!$I$22)</f>
        <v>246125.46286535254</v>
      </c>
      <c r="H12" s="106">
        <f>IF('PART 2025'!I$23&lt;1,0,'COEF Art 14 F I'!$AD13*'PART 2025'!$I$23)</f>
        <v>14357.316247937746</v>
      </c>
    </row>
    <row r="13" spans="1:8" ht="12.75" customHeight="1">
      <c r="A13" s="85">
        <v>19</v>
      </c>
      <c r="B13" s="95" t="s">
        <v>117</v>
      </c>
      <c r="C13" s="89">
        <f>IF('PART 2025'!I$18&lt;1,0,'COEF Art 14 F I'!$AD14*'PART 2025'!$I$18)</f>
        <v>28215689.046885289</v>
      </c>
      <c r="D13" s="89">
        <f>IF('PART 2025'!I$19&lt;1,0,'COEF Art 14 F I'!$AD14*'PART 2025'!$I$19)</f>
        <v>4926381.6919902442</v>
      </c>
      <c r="E13" s="89">
        <f>IF('PART 2025'!I$20&lt;1,0,'COEF Art 14 F I'!$AD14*'PART 2025'!$I$20)</f>
        <v>473520.16853216535</v>
      </c>
      <c r="F13" s="89">
        <f>IF('PART 2025'!I$21&lt;1,0,'COEF Art 14 F I'!$AD14*'PART 2025'!$I$21)</f>
        <v>2368720.2272667093</v>
      </c>
      <c r="G13" s="89">
        <f>IF('PART 2025'!I$22&lt;1,0,'COEF Art 14 F I'!$AD14*'PART 2025'!$I$22)</f>
        <v>1145635.4347214624</v>
      </c>
      <c r="H13" s="106">
        <f>IF('PART 2025'!I$23&lt;1,0,'COEF Art 14 F I'!$AD14*'PART 2025'!$I$23)</f>
        <v>66828.722431445436</v>
      </c>
    </row>
    <row r="14" spans="1:8" ht="12.75" customHeight="1">
      <c r="A14" s="85">
        <v>20</v>
      </c>
      <c r="B14" s="95" t="s">
        <v>118</v>
      </c>
      <c r="C14" s="89">
        <f>IF('PART 2025'!I$18&lt;1,0,'COEF Art 14 F I'!$AD15*'PART 2025'!$I$18)</f>
        <v>23157391.335388456</v>
      </c>
      <c r="D14" s="89">
        <f>IF('PART 2025'!I$19&lt;1,0,'COEF Art 14 F I'!$AD15*'PART 2025'!$I$19)</f>
        <v>4043216.8259064592</v>
      </c>
      <c r="E14" s="89">
        <f>IF('PART 2025'!I$20&lt;1,0,'COEF Art 14 F I'!$AD15*'PART 2025'!$I$20)</f>
        <v>388631.01410273445</v>
      </c>
      <c r="F14" s="89">
        <f>IF('PART 2025'!I$21&lt;1,0,'COEF Art 14 F I'!$AD15*'PART 2025'!$I$21)</f>
        <v>1944073.7802191186</v>
      </c>
      <c r="G14" s="89">
        <f>IF('PART 2025'!I$22&lt;1,0,'COEF Art 14 F I'!$AD15*'PART 2025'!$I$22)</f>
        <v>940254.48201703222</v>
      </c>
      <c r="H14" s="106">
        <f>IF('PART 2025'!I$23&lt;1,0,'COEF Art 14 F I'!$AD15*'PART 2025'!$I$23)</f>
        <v>54848.168875743642</v>
      </c>
    </row>
    <row r="15" spans="1:8" ht="12.75" customHeight="1">
      <c r="A15" s="85">
        <v>23</v>
      </c>
      <c r="B15" s="95" t="s">
        <v>119</v>
      </c>
      <c r="C15" s="89">
        <f>IF('PART 2025'!I$18&lt;1,0,'COEF Art 14 F I'!$AD16*'PART 2025'!$I$18)</f>
        <v>7647802.621463351</v>
      </c>
      <c r="D15" s="89">
        <f>IF('PART 2025'!I$19&lt;1,0,'COEF Art 14 F I'!$AD16*'PART 2025'!$I$19)</f>
        <v>1335285.3001649829</v>
      </c>
      <c r="E15" s="89">
        <f>IF('PART 2025'!I$20&lt;1,0,'COEF Art 14 F I'!$AD16*'PART 2025'!$I$20)</f>
        <v>128346.63651837432</v>
      </c>
      <c r="F15" s="89">
        <f>IF('PART 2025'!I$21&lt;1,0,'COEF Art 14 F I'!$AD16*'PART 2025'!$I$21)</f>
        <v>642036.58941312868</v>
      </c>
      <c r="G15" s="89">
        <f>IF('PART 2025'!I$22&lt;1,0,'COEF Art 14 F I'!$AD16*'PART 2025'!$I$22)</f>
        <v>310522.05269008985</v>
      </c>
      <c r="H15" s="106">
        <f>IF('PART 2025'!I$23&lt;1,0,'COEF Art 14 F I'!$AD16*'PART 2025'!$I$23)</f>
        <v>18113.783354749376</v>
      </c>
    </row>
    <row r="16" spans="1:8" ht="12.75" customHeight="1">
      <c r="A16" s="85">
        <v>21</v>
      </c>
      <c r="B16" s="95" t="s">
        <v>7</v>
      </c>
      <c r="C16" s="89">
        <f>IF('PART 2025'!I$18&lt;1,0,'COEF Art 14 F I'!$AD17*'PART 2025'!$I$18)</f>
        <v>9870362.8257866837</v>
      </c>
      <c r="D16" s="89">
        <f>IF('PART 2025'!I$19&lt;1,0,'COEF Art 14 F I'!$AD17*'PART 2025'!$I$19)</f>
        <v>1723338.1980307978</v>
      </c>
      <c r="E16" s="89">
        <f>IF('PART 2025'!I$20&lt;1,0,'COEF Art 14 F I'!$AD17*'PART 2025'!$I$20)</f>
        <v>165645.99436057612</v>
      </c>
      <c r="F16" s="89">
        <f>IF('PART 2025'!I$21&lt;1,0,'COEF Art 14 F I'!$AD17*'PART 2025'!$I$21)</f>
        <v>828621.55296126741</v>
      </c>
      <c r="G16" s="89">
        <f>IF('PART 2025'!I$22&lt;1,0,'COEF Art 14 F I'!$AD17*'PART 2025'!$I$22)</f>
        <v>400764.17726282513</v>
      </c>
      <c r="H16" s="106">
        <f>IF('PART 2025'!I$23&lt;1,0,'COEF Art 14 F I'!$AD17*'PART 2025'!$I$23)</f>
        <v>23377.906401154189</v>
      </c>
    </row>
    <row r="17" spans="1:8" ht="12.75" customHeight="1">
      <c r="A17" s="85">
        <v>22</v>
      </c>
      <c r="B17" s="95" t="s">
        <v>120</v>
      </c>
      <c r="C17" s="89">
        <f>IF('PART 2025'!I$18&lt;1,0,'COEF Art 14 F I'!$AD18*'PART 2025'!$I$18)</f>
        <v>18229248.539711319</v>
      </c>
      <c r="D17" s="89">
        <f>IF('PART 2025'!I$19&lt;1,0,'COEF Art 14 F I'!$AD18*'PART 2025'!$I$19)</f>
        <v>3182776.6500952118</v>
      </c>
      <c r="E17" s="89">
        <f>IF('PART 2025'!I$20&lt;1,0,'COEF Art 14 F I'!$AD18*'PART 2025'!$I$20)</f>
        <v>305926.14011287817</v>
      </c>
      <c r="F17" s="89">
        <f>IF('PART 2025'!I$21&lt;1,0,'COEF Art 14 F I'!$AD18*'PART 2025'!$I$21)</f>
        <v>1530353.8989296074</v>
      </c>
      <c r="G17" s="89">
        <f>IF('PART 2025'!I$22&lt;1,0,'COEF Art 14 F I'!$AD18*'PART 2025'!$I$22)</f>
        <v>740158.18081689335</v>
      </c>
      <c r="H17" s="106">
        <f>IF('PART 2025'!I$23&lt;1,0,'COEF Art 14 F I'!$AD18*'PART 2025'!$I$23)</f>
        <v>43175.886605848456</v>
      </c>
    </row>
    <row r="18" spans="1:8" ht="12.75" customHeight="1">
      <c r="A18" s="85">
        <v>25</v>
      </c>
      <c r="B18" s="95" t="s">
        <v>8</v>
      </c>
      <c r="C18" s="89">
        <f>IF('PART 2025'!I$18&lt;1,0,'COEF Art 14 F I'!$AD19*'PART 2025'!$I$18)</f>
        <v>22318515.143400125</v>
      </c>
      <c r="D18" s="89">
        <f>IF('PART 2025'!I$19&lt;1,0,'COEF Art 14 F I'!$AD19*'PART 2025'!$I$19)</f>
        <v>3896751.3503623139</v>
      </c>
      <c r="E18" s="89">
        <f>IF('PART 2025'!I$20&lt;1,0,'COEF Art 14 F I'!$AD19*'PART 2025'!$I$20)</f>
        <v>374552.86080483423</v>
      </c>
      <c r="F18" s="89">
        <f>IF('PART 2025'!I$21&lt;1,0,'COEF Art 14 F I'!$AD19*'PART 2025'!$I$21)</f>
        <v>1873649.7334828018</v>
      </c>
      <c r="G18" s="89">
        <f>IF('PART 2025'!I$22&lt;1,0,'COEF Art 14 F I'!$AD19*'PART 2025'!$I$22)</f>
        <v>906193.77595775132</v>
      </c>
      <c r="H18" s="106">
        <f>IF('PART 2025'!I$23&lt;1,0,'COEF Art 14 F I'!$AD19*'PART 2025'!$I$23)</f>
        <v>52861.294690407223</v>
      </c>
    </row>
    <row r="19" spans="1:8" ht="12.75" customHeight="1">
      <c r="A19" s="85">
        <v>27</v>
      </c>
      <c r="B19" s="95" t="s">
        <v>9</v>
      </c>
      <c r="C19" s="89">
        <f>IF('PART 2025'!I$18&lt;1,0,'COEF Art 14 F I'!$AD20*'PART 2025'!$I$18)</f>
        <v>3203905.7223108481</v>
      </c>
      <c r="D19" s="89">
        <f>IF('PART 2025'!I$19&lt;1,0,'COEF Art 14 F I'!$AD20*'PART 2025'!$I$19)</f>
        <v>559393.12582540989</v>
      </c>
      <c r="E19" s="89">
        <f>IF('PART 2025'!I$20&lt;1,0,'COEF Art 14 F I'!$AD20*'PART 2025'!$I$20)</f>
        <v>53768.453964347711</v>
      </c>
      <c r="F19" s="89">
        <f>IF('PART 2025'!I$21&lt;1,0,'COEF Art 14 F I'!$AD20*'PART 2025'!$I$21)</f>
        <v>268969.3765083162</v>
      </c>
      <c r="G19" s="89">
        <f>IF('PART 2025'!I$22&lt;1,0,'COEF Art 14 F I'!$AD20*'PART 2025'!$I$22)</f>
        <v>130087.48143229749</v>
      </c>
      <c r="H19" s="106">
        <f>IF('PART 2025'!I$23&lt;1,0,'COEF Art 14 F I'!$AD20*'PART 2025'!$I$23)</f>
        <v>7588.4351382326831</v>
      </c>
    </row>
    <row r="20" spans="1:8" ht="12.75" customHeight="1">
      <c r="A20" s="85">
        <v>26</v>
      </c>
      <c r="B20" s="95" t="s">
        <v>121</v>
      </c>
      <c r="C20" s="89">
        <f>IF('PART 2025'!I$18&lt;1,0,'COEF Art 14 F I'!$AD21*'PART 2025'!$I$18)</f>
        <v>2194451.4043194172</v>
      </c>
      <c r="D20" s="89">
        <f>IF('PART 2025'!I$19&lt;1,0,'COEF Art 14 F I'!$AD21*'PART 2025'!$I$19)</f>
        <v>383145.17870669696</v>
      </c>
      <c r="E20" s="89">
        <f>IF('PART 2025'!I$20&lt;1,0,'COEF Art 14 F I'!$AD21*'PART 2025'!$I$20)</f>
        <v>36827.631502541124</v>
      </c>
      <c r="F20" s="89">
        <f>IF('PART 2025'!I$21&lt;1,0,'COEF Art 14 F I'!$AD21*'PART 2025'!$I$21)</f>
        <v>184225.2167057762</v>
      </c>
      <c r="G20" s="89">
        <f>IF('PART 2025'!I$22&lt;1,0,'COEF Art 14 F I'!$AD21*'PART 2025'!$I$22)</f>
        <v>89100.829130384896</v>
      </c>
      <c r="H20" s="106">
        <f>IF('PART 2025'!I$23&lt;1,0,'COEF Art 14 F I'!$AD21*'PART 2025'!$I$23)</f>
        <v>5197.5474901523557</v>
      </c>
    </row>
    <row r="21" spans="1:8" ht="12.75" customHeight="1">
      <c r="A21" s="85">
        <v>29</v>
      </c>
      <c r="B21" s="95" t="s">
        <v>10</v>
      </c>
      <c r="C21" s="89">
        <f>IF('PART 2025'!I$18&lt;1,0,'COEF Art 14 F I'!$AD22*'PART 2025'!$I$18)</f>
        <v>20853505.927751463</v>
      </c>
      <c r="D21" s="89">
        <f>IF('PART 2025'!I$19&lt;1,0,'COEF Art 14 F I'!$AD22*'PART 2025'!$I$19)</f>
        <v>3640964.7712510992</v>
      </c>
      <c r="E21" s="89">
        <f>IF('PART 2025'!I$20&lt;1,0,'COEF Art 14 F I'!$AD22*'PART 2025'!$I$20)</f>
        <v>349966.84380052122</v>
      </c>
      <c r="F21" s="89">
        <f>IF('PART 2025'!I$21&lt;1,0,'COEF Art 14 F I'!$AD22*'PART 2025'!$I$21)</f>
        <v>1750661.5280034749</v>
      </c>
      <c r="G21" s="89">
        <f>IF('PART 2025'!I$22&lt;1,0,'COEF Art 14 F I'!$AD22*'PART 2025'!$I$22)</f>
        <v>846710.32804862154</v>
      </c>
      <c r="H21" s="106">
        <f>IF('PART 2025'!I$23&lt;1,0,'COEF Art 14 F I'!$AD22*'PART 2025'!$I$23)</f>
        <v>49391.427480380618</v>
      </c>
    </row>
    <row r="22" spans="1:8" ht="12.75" customHeight="1">
      <c r="A22" s="85">
        <v>30</v>
      </c>
      <c r="B22" s="95" t="s">
        <v>122</v>
      </c>
      <c r="C22" s="89">
        <f>IF('PART 2025'!I$18&lt;1,0,'COEF Art 14 F I'!$AD23*'PART 2025'!$I$18)</f>
        <v>83888694.084429905</v>
      </c>
      <c r="D22" s="89">
        <f>IF('PART 2025'!I$19&lt;1,0,'COEF Art 14 F I'!$AD23*'PART 2025'!$I$19)</f>
        <v>14646735.226483015</v>
      </c>
      <c r="E22" s="89">
        <f>IF('PART 2025'!I$20&lt;1,0,'COEF Art 14 F I'!$AD23*'PART 2025'!$I$20)</f>
        <v>1407833.3686905832</v>
      </c>
      <c r="F22" s="89">
        <f>IF('PART 2025'!I$21&lt;1,0,'COEF Art 14 F I'!$AD23*'PART 2025'!$I$21)</f>
        <v>7042494.9107777886</v>
      </c>
      <c r="G22" s="89">
        <f>IF('PART 2025'!I$22&lt;1,0,'COEF Art 14 F I'!$AD23*'PART 2025'!$I$22)</f>
        <v>3406114.2492722743</v>
      </c>
      <c r="H22" s="106">
        <f>IF('PART 2025'!I$23&lt;1,0,'COEF Art 14 F I'!$AD23*'PART 2025'!$I$23)</f>
        <v>198689.96439495657</v>
      </c>
    </row>
    <row r="23" spans="1:8" ht="12.75" customHeight="1">
      <c r="A23" s="85">
        <v>32</v>
      </c>
      <c r="B23" s="95" t="s">
        <v>11</v>
      </c>
      <c r="C23" s="89">
        <f>IF('PART 2025'!I$18&lt;1,0,'COEF Art 14 F I'!$AD24*'PART 2025'!$I$18)</f>
        <v>7357657.1611105353</v>
      </c>
      <c r="D23" s="89">
        <f>IF('PART 2025'!I$19&lt;1,0,'COEF Art 14 F I'!$AD24*'PART 2025'!$I$19)</f>
        <v>1284626.7009182645</v>
      </c>
      <c r="E23" s="89">
        <f>IF('PART 2025'!I$20&lt;1,0,'COEF Art 14 F I'!$AD24*'PART 2025'!$I$20)</f>
        <v>123477.36938629008</v>
      </c>
      <c r="F23" s="89">
        <f>IF('PART 2025'!I$21&lt;1,0,'COEF Art 14 F I'!$AD24*'PART 2025'!$I$21)</f>
        <v>617678.74298076623</v>
      </c>
      <c r="G23" s="89">
        <f>IF('PART 2025'!I$22&lt;1,0,'COEF Art 14 F I'!$AD24*'PART 2025'!$I$22)</f>
        <v>298741.34019175556</v>
      </c>
      <c r="H23" s="106">
        <f>IF('PART 2025'!I$23&lt;1,0,'COEF Art 14 F I'!$AD24*'PART 2025'!$I$23)</f>
        <v>17426.575241474442</v>
      </c>
    </row>
    <row r="24" spans="1:8" ht="12.75" customHeight="1">
      <c r="A24" s="85">
        <v>33</v>
      </c>
      <c r="B24" s="95" t="s">
        <v>12</v>
      </c>
      <c r="C24" s="89">
        <f>IF('PART 2025'!I$18&lt;1,0,'COEF Art 14 F I'!$AD25*'PART 2025'!$I$18)</f>
        <v>148969905.66813082</v>
      </c>
      <c r="D24" s="89">
        <f>IF('PART 2025'!I$19&lt;1,0,'COEF Art 14 F I'!$AD25*'PART 2025'!$I$19)</f>
        <v>26009735.743880622</v>
      </c>
      <c r="E24" s="89">
        <f>IF('PART 2025'!I$20&lt;1,0,'COEF Art 14 F I'!$AD25*'PART 2025'!$I$20)</f>
        <v>2500036.5832278323</v>
      </c>
      <c r="F24" s="89">
        <f>IF('PART 2025'!I$21&lt;1,0,'COEF Art 14 F I'!$AD25*'PART 2025'!$I$21)</f>
        <v>12506092.912484372</v>
      </c>
      <c r="G24" s="89">
        <f>IF('PART 2025'!I$22&lt;1,0,'COEF Art 14 F I'!$AD25*'PART 2025'!$I$22)</f>
        <v>6048592.4110141089</v>
      </c>
      <c r="H24" s="106">
        <f>IF('PART 2025'!I$23&lt;1,0,'COEF Art 14 F I'!$AD25*'PART 2025'!$I$23)</f>
        <v>352834.4978565427</v>
      </c>
    </row>
    <row r="25" spans="1:8" ht="12.75" customHeight="1">
      <c r="A25" s="85">
        <v>34</v>
      </c>
      <c r="B25" s="95" t="s">
        <v>123</v>
      </c>
      <c r="C25" s="89">
        <f>IF('PART 2025'!I$18&lt;1,0,'COEF Art 14 F I'!$AD26*'PART 2025'!$I$18)</f>
        <v>9397109.2873388212</v>
      </c>
      <c r="D25" s="89">
        <f>IF('PART 2025'!I$19&lt;1,0,'COEF Art 14 F I'!$AD26*'PART 2025'!$I$19)</f>
        <v>1640709.4320415966</v>
      </c>
      <c r="E25" s="89">
        <f>IF('PART 2025'!I$20&lt;1,0,'COEF Art 14 F I'!$AD26*'PART 2025'!$I$20)</f>
        <v>157703.77842135512</v>
      </c>
      <c r="F25" s="89">
        <f>IF('PART 2025'!I$21&lt;1,0,'COEF Art 14 F I'!$AD26*'PART 2025'!$I$21)</f>
        <v>788891.69815303467</v>
      </c>
      <c r="G25" s="89">
        <f>IF('PART 2025'!I$22&lt;1,0,'COEF Art 14 F I'!$AD26*'PART 2025'!$I$22)</f>
        <v>381548.76762486564</v>
      </c>
      <c r="H25" s="106">
        <f>IF('PART 2025'!I$23&lt;1,0,'COEF Art 14 F I'!$AD26*'PART 2025'!$I$23)</f>
        <v>22257.007694477987</v>
      </c>
    </row>
    <row r="26" spans="1:8" ht="12.75" customHeight="1">
      <c r="A26" s="85">
        <v>35</v>
      </c>
      <c r="B26" s="95" t="s">
        <v>13</v>
      </c>
      <c r="C26" s="89">
        <f>IF('PART 2025'!I$18&lt;1,0,'COEF Art 14 F I'!$AD27*'PART 2025'!$I$18)</f>
        <v>1901602.3971815337</v>
      </c>
      <c r="D26" s="89">
        <f>IF('PART 2025'!I$19&lt;1,0,'COEF Art 14 F I'!$AD27*'PART 2025'!$I$19)</f>
        <v>332014.54762821033</v>
      </c>
      <c r="E26" s="89">
        <f>IF('PART 2025'!I$20&lt;1,0,'COEF Art 14 F I'!$AD27*'PART 2025'!$I$20)</f>
        <v>31912.993019533194</v>
      </c>
      <c r="F26" s="89">
        <f>IF('PART 2025'!I$21&lt;1,0,'COEF Art 14 F I'!$AD27*'PART 2025'!$I$21)</f>
        <v>159640.40626255752</v>
      </c>
      <c r="G26" s="89">
        <f>IF('PART 2025'!I$22&lt;1,0,'COEF Art 14 F I'!$AD27*'PART 2025'!$I$22)</f>
        <v>77210.345114819342</v>
      </c>
      <c r="H26" s="106">
        <f>IF('PART 2025'!I$23&lt;1,0,'COEF Art 14 F I'!$AD27*'PART 2025'!$I$23)</f>
        <v>4503.9360394512296</v>
      </c>
    </row>
    <row r="27" spans="1:8" ht="12.75" customHeight="1">
      <c r="A27" s="85">
        <v>61</v>
      </c>
      <c r="B27" s="95" t="s">
        <v>14</v>
      </c>
      <c r="C27" s="89">
        <f>IF('PART 2025'!I$18&lt;1,0,'COEF Art 14 F I'!$AD28*'PART 2025'!$I$18)</f>
        <v>5430955.7979936069</v>
      </c>
      <c r="D27" s="89">
        <f>IF('PART 2025'!I$19&lt;1,0,'COEF Art 14 F I'!$AD28*'PART 2025'!$I$19)</f>
        <v>948229.94287986145</v>
      </c>
      <c r="E27" s="89">
        <f>IF('PART 2025'!I$20&lt;1,0,'COEF Art 14 F I'!$AD28*'PART 2025'!$I$20)</f>
        <v>91143.161539787296</v>
      </c>
      <c r="F27" s="89">
        <f>IF('PART 2025'!I$21&lt;1,0,'COEF Art 14 F I'!$AD28*'PART 2025'!$I$21)</f>
        <v>455931.26684669644</v>
      </c>
      <c r="G27" s="89">
        <f>IF('PART 2025'!I$22&lt;1,0,'COEF Art 14 F I'!$AD28*'PART 2025'!$I$22)</f>
        <v>220511.90726721886</v>
      </c>
      <c r="H27" s="106">
        <f>IF('PART 2025'!I$23&lt;1,0,'COEF Art 14 F I'!$AD28*'PART 2025'!$I$23)</f>
        <v>12863.192423139817</v>
      </c>
    </row>
    <row r="28" spans="1:8" ht="12.75" customHeight="1">
      <c r="A28" s="85">
        <v>36</v>
      </c>
      <c r="B28" s="95" t="s">
        <v>15</v>
      </c>
      <c r="C28" s="89">
        <f>IF('PART 2025'!I$18&lt;1,0,'COEF Art 14 F I'!$AD29*'PART 2025'!$I$18)</f>
        <v>20881579.025742754</v>
      </c>
      <c r="D28" s="89">
        <f>IF('PART 2025'!I$19&lt;1,0,'COEF Art 14 F I'!$AD29*'PART 2025'!$I$19)</f>
        <v>3645866.2569370214</v>
      </c>
      <c r="E28" s="89">
        <f>IF('PART 2025'!I$20&lt;1,0,'COEF Art 14 F I'!$AD29*'PART 2025'!$I$20)</f>
        <v>350437.97098334378</v>
      </c>
      <c r="F28" s="89">
        <f>IF('PART 2025'!I$21&lt;1,0,'COEF Art 14 F I'!$AD29*'PART 2025'!$I$21)</f>
        <v>1753018.2776452617</v>
      </c>
      <c r="G28" s="89">
        <f>IF('PART 2025'!I$22&lt;1,0,'COEF Art 14 F I'!$AD29*'PART 2025'!$I$22)</f>
        <v>847850.17388998263</v>
      </c>
      <c r="H28" s="106">
        <f>IF('PART 2025'!I$23&lt;1,0,'COEF Art 14 F I'!$AD29*'PART 2025'!$I$23)</f>
        <v>49457.918476589621</v>
      </c>
    </row>
    <row r="29" spans="1:8" ht="12.75" customHeight="1">
      <c r="A29" s="85">
        <v>28</v>
      </c>
      <c r="B29" s="95" t="s">
        <v>16</v>
      </c>
      <c r="C29" s="89">
        <f>IF('PART 2025'!I$18&lt;1,0,'COEF Art 14 F I'!$AD30*'PART 2025'!$I$18)</f>
        <v>154037903.85077581</v>
      </c>
      <c r="D29" s="89">
        <f>IF('PART 2025'!I$19&lt;1,0,'COEF Art 14 F I'!$AD30*'PART 2025'!$I$19)</f>
        <v>26894594.285542864</v>
      </c>
      <c r="E29" s="89">
        <f>IF('PART 2025'!I$20&lt;1,0,'COEF Art 14 F I'!$AD30*'PART 2025'!$I$20)</f>
        <v>2585088.5325025455</v>
      </c>
      <c r="F29" s="89">
        <f>IF('PART 2025'!I$21&lt;1,0,'COEF Art 14 F I'!$AD30*'PART 2025'!$I$21)</f>
        <v>12931553.718599519</v>
      </c>
      <c r="G29" s="89">
        <f>IF('PART 2025'!I$22&lt;1,0,'COEF Art 14 F I'!$AD30*'PART 2025'!$I$22)</f>
        <v>6254367.2298212722</v>
      </c>
      <c r="H29" s="106">
        <f>IF('PART 2025'!I$23&lt;1,0,'COEF Art 14 F I'!$AD30*'PART 2025'!$I$23)</f>
        <v>364838.0269310326</v>
      </c>
    </row>
    <row r="30" spans="1:8" ht="12.75" customHeight="1">
      <c r="A30" s="85">
        <v>37</v>
      </c>
      <c r="B30" s="95" t="s">
        <v>124</v>
      </c>
      <c r="C30" s="89">
        <f>IF('PART 2025'!I$18&lt;1,0,'COEF Art 14 F I'!$AD31*'PART 2025'!$I$18)</f>
        <v>1969712.0906268123</v>
      </c>
      <c r="D30" s="89">
        <f>IF('PART 2025'!I$19&lt;1,0,'COEF Art 14 F I'!$AD31*'PART 2025'!$I$19)</f>
        <v>343906.31274790457</v>
      </c>
      <c r="E30" s="89">
        <f>IF('PART 2025'!I$20&lt;1,0,'COEF Art 14 F I'!$AD31*'PART 2025'!$I$20)</f>
        <v>33056.020696982123</v>
      </c>
      <c r="F30" s="89">
        <f>IF('PART 2025'!I$21&lt;1,0,'COEF Art 14 F I'!$AD31*'PART 2025'!$I$21)</f>
        <v>165358.24672602036</v>
      </c>
      <c r="G30" s="89">
        <f>IF('PART 2025'!I$22&lt;1,0,'COEF Art 14 F I'!$AD31*'PART 2025'!$I$22)</f>
        <v>79975.788061446263</v>
      </c>
      <c r="H30" s="106">
        <f>IF('PART 2025'!I$23&lt;1,0,'COEF Art 14 F I'!$AD31*'PART 2025'!$I$23)</f>
        <v>4665.2535174891382</v>
      </c>
    </row>
    <row r="31" spans="1:8" ht="12.75" customHeight="1">
      <c r="A31" s="85">
        <v>39</v>
      </c>
      <c r="B31" s="95" t="s">
        <v>17</v>
      </c>
      <c r="C31" s="89">
        <f>IF('PART 2025'!I$18&lt;1,0,'COEF Art 14 F I'!$AD32*'PART 2025'!$I$18)</f>
        <v>3732756.4447724195</v>
      </c>
      <c r="D31" s="89">
        <f>IF('PART 2025'!I$19&lt;1,0,'COEF Art 14 F I'!$AD32*'PART 2025'!$I$19)</f>
        <v>651729.00720691017</v>
      </c>
      <c r="E31" s="89">
        <f>IF('PART 2025'!I$20&lt;1,0,'COEF Art 14 F I'!$AD32*'PART 2025'!$I$20)</f>
        <v>62643.710663280057</v>
      </c>
      <c r="F31" s="89">
        <f>IF('PART 2025'!I$21&lt;1,0,'COEF Art 14 F I'!$AD32*'PART 2025'!$I$21)</f>
        <v>313366.64078982134</v>
      </c>
      <c r="G31" s="89">
        <f>IF('PART 2025'!I$22&lt;1,0,'COEF Art 14 F I'!$AD32*'PART 2025'!$I$22)</f>
        <v>151560.29134040436</v>
      </c>
      <c r="H31" s="106">
        <f>IF('PART 2025'!I$23&lt;1,0,'COEF Art 14 F I'!$AD32*'PART 2025'!$I$23)</f>
        <v>8841.0155051457896</v>
      </c>
    </row>
    <row r="32" spans="1:8" ht="12.75" customHeight="1">
      <c r="A32" s="85">
        <v>38</v>
      </c>
      <c r="B32" s="95" t="s">
        <v>18</v>
      </c>
      <c r="C32" s="89">
        <f>IF('PART 2025'!I$18&lt;1,0,'COEF Art 14 F I'!$AD33*'PART 2025'!$I$18)</f>
        <v>2740549.0181023842</v>
      </c>
      <c r="D32" s="89">
        <f>IF('PART 2025'!I$19&lt;1,0,'COEF Art 14 F I'!$AD33*'PART 2025'!$I$19)</f>
        <v>478492.31987023866</v>
      </c>
      <c r="E32" s="89">
        <f>IF('PART 2025'!I$20&lt;1,0,'COEF Art 14 F I'!$AD33*'PART 2025'!$I$20)</f>
        <v>45992.32826694884</v>
      </c>
      <c r="F32" s="89">
        <f>IF('PART 2025'!I$21&lt;1,0,'COEF Art 14 F I'!$AD33*'PART 2025'!$I$21)</f>
        <v>230070.3655405374</v>
      </c>
      <c r="G32" s="89">
        <f>IF('PART 2025'!I$22&lt;1,0,'COEF Art 14 F I'!$AD33*'PART 2025'!$I$22)</f>
        <v>111273.91078460257</v>
      </c>
      <c r="H32" s="106">
        <f>IF('PART 2025'!I$23&lt;1,0,'COEF Art 14 F I'!$AD33*'PART 2025'!$I$23)</f>
        <v>6490.9770353721724</v>
      </c>
    </row>
    <row r="33" spans="1:8" ht="12.75" customHeight="1">
      <c r="A33" s="85">
        <v>40</v>
      </c>
      <c r="B33" s="95" t="s">
        <v>19</v>
      </c>
      <c r="C33" s="89">
        <f>IF('PART 2025'!I$18&lt;1,0,'COEF Art 14 F I'!$AD34*'PART 2025'!$I$18)</f>
        <v>3289651.4456687132</v>
      </c>
      <c r="D33" s="89">
        <f>IF('PART 2025'!I$19&lt;1,0,'COEF Art 14 F I'!$AD34*'PART 2025'!$I$19)</f>
        <v>574364.0932547265</v>
      </c>
      <c r="E33" s="89">
        <f>IF('PART 2025'!I$20&lt;1,0,'COEF Art 14 F I'!$AD34*'PART 2025'!$I$20)</f>
        <v>55207.45229282591</v>
      </c>
      <c r="F33" s="89">
        <f>IF('PART 2025'!I$21&lt;1,0,'COEF Art 14 F I'!$AD34*'PART 2025'!$I$21)</f>
        <v>276167.76989087334</v>
      </c>
      <c r="G33" s="89">
        <f>IF('PART 2025'!I$22&lt;1,0,'COEF Art 14 F I'!$AD34*'PART 2025'!$I$22)</f>
        <v>133568.99623391591</v>
      </c>
      <c r="H33" s="106">
        <f>IF('PART 2025'!I$23&lt;1,0,'COEF Art 14 F I'!$AD34*'PART 2025'!$I$23)</f>
        <v>7791.5234674400399</v>
      </c>
    </row>
    <row r="34" spans="1:8" ht="12.75" customHeight="1">
      <c r="A34" s="85">
        <v>41</v>
      </c>
      <c r="B34" s="95" t="s">
        <v>20</v>
      </c>
      <c r="C34" s="89">
        <f>IF('PART 2025'!I$18&lt;1,0,'COEF Art 14 F I'!$AD35*'PART 2025'!$I$18)</f>
        <v>3444780.9223434418</v>
      </c>
      <c r="D34" s="89">
        <f>IF('PART 2025'!I$19&lt;1,0,'COEF Art 14 F I'!$AD35*'PART 2025'!$I$19)</f>
        <v>601449.27315263764</v>
      </c>
      <c r="E34" s="89">
        <f>IF('PART 2025'!I$20&lt;1,0,'COEF Art 14 F I'!$AD35*'PART 2025'!$I$20)</f>
        <v>57810.859773581127</v>
      </c>
      <c r="F34" s="89">
        <f>IF('PART 2025'!I$21&lt;1,0,'COEF Art 14 F I'!$AD35*'PART 2025'!$I$21)</f>
        <v>289190.96165606938</v>
      </c>
      <c r="G34" s="89">
        <f>IF('PART 2025'!I$22&lt;1,0,'COEF Art 14 F I'!$AD35*'PART 2025'!$I$22)</f>
        <v>139867.68435572818</v>
      </c>
      <c r="H34" s="106">
        <f>IF('PART 2025'!I$23&lt;1,0,'COEF Art 14 F I'!$AD35*'PART 2025'!$I$23)</f>
        <v>8158.9468793015776</v>
      </c>
    </row>
    <row r="35" spans="1:8" ht="12.75" customHeight="1">
      <c r="A35" s="85">
        <v>42</v>
      </c>
      <c r="B35" s="95" t="s">
        <v>125</v>
      </c>
      <c r="C35" s="89">
        <f>IF('PART 2025'!I$18&lt;1,0,'COEF Art 14 F I'!$AD36*'PART 2025'!$I$18)</f>
        <v>104944055.86484444</v>
      </c>
      <c r="D35" s="89">
        <f>IF('PART 2025'!I$19&lt;1,0,'COEF Art 14 F I'!$AD36*'PART 2025'!$I$19)</f>
        <v>18322943.474344879</v>
      </c>
      <c r="E35" s="89">
        <f>IF('PART 2025'!I$20&lt;1,0,'COEF Art 14 F I'!$AD36*'PART 2025'!$I$20)</f>
        <v>1761187.7894243984</v>
      </c>
      <c r="F35" s="89">
        <f>IF('PART 2025'!I$21&lt;1,0,'COEF Art 14 F I'!$AD36*'PART 2025'!$I$21)</f>
        <v>8810102.3315574657</v>
      </c>
      <c r="G35" s="89">
        <f>IF('PART 2025'!I$22&lt;1,0,'COEF Art 14 F I'!$AD36*'PART 2025'!$I$22)</f>
        <v>4261020.4862399539</v>
      </c>
      <c r="H35" s="106">
        <f>IF('PART 2025'!I$23&lt;1,0,'COEF Art 14 F I'!$AD36*'PART 2025'!$I$23)</f>
        <v>248559.48648172332</v>
      </c>
    </row>
    <row r="36" spans="1:8" ht="12.75" customHeight="1">
      <c r="A36" s="85">
        <v>43</v>
      </c>
      <c r="B36" s="95" t="s">
        <v>21</v>
      </c>
      <c r="C36" s="89">
        <f>IF('PART 2025'!I$18&lt;1,0,'COEF Art 14 F I'!$AD37*'PART 2025'!$I$18)</f>
        <v>10034532.796424506</v>
      </c>
      <c r="D36" s="89">
        <f>IF('PART 2025'!I$19&lt;1,0,'COEF Art 14 F I'!$AD37*'PART 2025'!$I$19)</f>
        <v>1752001.8233061132</v>
      </c>
      <c r="E36" s="89">
        <f>IF('PART 2025'!I$20&lt;1,0,'COEF Art 14 F I'!$AD37*'PART 2025'!$I$20)</f>
        <v>168401.12084482278</v>
      </c>
      <c r="F36" s="89">
        <f>IF('PART 2025'!I$21&lt;1,0,'COEF Art 14 F I'!$AD37*'PART 2025'!$I$21)</f>
        <v>842403.69840217486</v>
      </c>
      <c r="G36" s="89">
        <f>IF('PART 2025'!I$22&lt;1,0,'COEF Art 14 F I'!$AD37*'PART 2025'!$I$22)</f>
        <v>407429.93457845709</v>
      </c>
      <c r="H36" s="106">
        <f>IF('PART 2025'!I$23&lt;1,0,'COEF Art 14 F I'!$AD37*'PART 2025'!$I$23)</f>
        <v>23766.742179047222</v>
      </c>
    </row>
    <row r="37" spans="1:8" ht="12.75" customHeight="1">
      <c r="A37" s="85">
        <v>44</v>
      </c>
      <c r="B37" s="95" t="s">
        <v>22</v>
      </c>
      <c r="C37" s="89">
        <f>IF('PART 2025'!I$18&lt;1,0,'COEF Art 14 F I'!$AD38*'PART 2025'!$I$18)</f>
        <v>22478063.29856953</v>
      </c>
      <c r="D37" s="89">
        <f>IF('PART 2025'!I$19&lt;1,0,'COEF Art 14 F I'!$AD38*'PART 2025'!$I$19)</f>
        <v>3924608.0193705135</v>
      </c>
      <c r="E37" s="89">
        <f>IF('PART 2025'!I$20&lt;1,0,'COEF Art 14 F I'!$AD38*'PART 2025'!$I$20)</f>
        <v>377230.42324887996</v>
      </c>
      <c r="F37" s="89">
        <f>IF('PART 2025'!I$21&lt;1,0,'COEF Art 14 F I'!$AD38*'PART 2025'!$I$21)</f>
        <v>1887043.8753641101</v>
      </c>
      <c r="G37" s="89">
        <f>IF('PART 2025'!I$22&lt;1,0,'COEF Art 14 F I'!$AD38*'PART 2025'!$I$22)</f>
        <v>912671.87471347477</v>
      </c>
      <c r="H37" s="106">
        <f>IF('PART 2025'!I$23&lt;1,0,'COEF Art 14 F I'!$AD38*'PART 2025'!$I$23)</f>
        <v>53239.183720816785</v>
      </c>
    </row>
    <row r="38" spans="1:8" ht="12.75" customHeight="1">
      <c r="A38" s="85">
        <v>46</v>
      </c>
      <c r="B38" s="95" t="s">
        <v>126</v>
      </c>
      <c r="C38" s="89">
        <f>IF('PART 2025'!I$18&lt;1,0,'COEF Art 14 F I'!$AD39*'PART 2025'!$I$18)</f>
        <v>4380303.9872302944</v>
      </c>
      <c r="D38" s="89">
        <f>IF('PART 2025'!I$19&lt;1,0,'COEF Art 14 F I'!$AD39*'PART 2025'!$I$19)</f>
        <v>764789.02684906393</v>
      </c>
      <c r="E38" s="89">
        <f>IF('PART 2025'!I$20&lt;1,0,'COEF Art 14 F I'!$AD39*'PART 2025'!$I$20)</f>
        <v>73510.956220449632</v>
      </c>
      <c r="F38" s="89">
        <f>IF('PART 2025'!I$21&lt;1,0,'COEF Art 14 F I'!$AD39*'PART 2025'!$I$21)</f>
        <v>367728.5583523534</v>
      </c>
      <c r="G38" s="89">
        <f>IF('PART 2025'!I$22&lt;1,0,'COEF Art 14 F I'!$AD39*'PART 2025'!$I$22)</f>
        <v>177852.52220082475</v>
      </c>
      <c r="H38" s="106">
        <f>IF('PART 2025'!I$23&lt;1,0,'COEF Art 14 F I'!$AD39*'PART 2025'!$I$23)</f>
        <v>10374.728713572968</v>
      </c>
    </row>
    <row r="39" spans="1:8" ht="12.75" customHeight="1">
      <c r="A39" s="85">
        <v>49</v>
      </c>
      <c r="B39" s="95" t="s">
        <v>23</v>
      </c>
      <c r="C39" s="89">
        <f>IF('PART 2025'!I$18&lt;1,0,'COEF Art 14 F I'!$AD40*'PART 2025'!$I$18)</f>
        <v>758771.35624636163</v>
      </c>
      <c r="D39" s="89">
        <f>IF('PART 2025'!I$19&lt;1,0,'COEF Art 14 F I'!$AD40*'PART 2025'!$I$19)</f>
        <v>132479.39157563541</v>
      </c>
      <c r="E39" s="89">
        <f>IF('PART 2025'!I$20&lt;1,0,'COEF Art 14 F I'!$AD40*'PART 2025'!$I$20)</f>
        <v>12733.821240024579</v>
      </c>
      <c r="F39" s="89">
        <f>IF('PART 2025'!I$21&lt;1,0,'COEF Art 14 F I'!$AD40*'PART 2025'!$I$21)</f>
        <v>63699.208494422906</v>
      </c>
      <c r="G39" s="89">
        <f>IF('PART 2025'!I$22&lt;1,0,'COEF Art 14 F I'!$AD40*'PART 2025'!$I$22)</f>
        <v>30808.226980494481</v>
      </c>
      <c r="H39" s="106">
        <f>IF('PART 2025'!I$23&lt;1,0,'COEF Art 14 F I'!$AD40*'PART 2025'!$I$23)</f>
        <v>1797.1462710430276</v>
      </c>
    </row>
    <row r="40" spans="1:8" ht="12.75" customHeight="1">
      <c r="A40" s="85">
        <v>48</v>
      </c>
      <c r="B40" s="95" t="s">
        <v>24</v>
      </c>
      <c r="C40" s="89">
        <f>IF('PART 2025'!I$18&lt;1,0,'COEF Art 14 F I'!$AD41*'PART 2025'!$I$18)</f>
        <v>5956866.3899191301</v>
      </c>
      <c r="D40" s="89">
        <f>IF('PART 2025'!I$19&lt;1,0,'COEF Art 14 F I'!$AD41*'PART 2025'!$I$19)</f>
        <v>1040052.4855574663</v>
      </c>
      <c r="E40" s="89">
        <f>IF('PART 2025'!I$20&lt;1,0,'COEF Art 14 F I'!$AD41*'PART 2025'!$I$20)</f>
        <v>99969.076501765332</v>
      </c>
      <c r="F40" s="89">
        <f>IF('PART 2025'!I$21&lt;1,0,'COEF Art 14 F I'!$AD41*'PART 2025'!$I$21)</f>
        <v>500081.70580134296</v>
      </c>
      <c r="G40" s="89">
        <f>IF('PART 2025'!I$22&lt;1,0,'COEF Art 14 F I'!$AD41*'PART 2025'!$I$22)</f>
        <v>241865.3396999359</v>
      </c>
      <c r="H40" s="106">
        <f>IF('PART 2025'!I$23&lt;1,0,'COEF Art 14 F I'!$AD41*'PART 2025'!$I$23)</f>
        <v>14108.809105161896</v>
      </c>
    </row>
    <row r="41" spans="1:8" ht="12.75" customHeight="1">
      <c r="A41" s="85">
        <v>47</v>
      </c>
      <c r="B41" s="95" t="s">
        <v>25</v>
      </c>
      <c r="C41" s="89">
        <f>IF('PART 2025'!I$18&lt;1,0,'COEF Art 14 F I'!$AD42*'PART 2025'!$I$18)</f>
        <v>7790387.2335489774</v>
      </c>
      <c r="D41" s="89">
        <f>IF('PART 2025'!I$19&lt;1,0,'COEF Art 14 F I'!$AD42*'PART 2025'!$I$19)</f>
        <v>1360180.1812139964</v>
      </c>
      <c r="E41" s="89">
        <f>IF('PART 2025'!I$20&lt;1,0,'COEF Art 14 F I'!$AD42*'PART 2025'!$I$20)</f>
        <v>130739.51409200678</v>
      </c>
      <c r="F41" s="89">
        <f>IF('PART 2025'!I$21&lt;1,0,'COEF Art 14 F I'!$AD42*'PART 2025'!$I$21)</f>
        <v>654006.63395760115</v>
      </c>
      <c r="G41" s="89">
        <f>IF('PART 2025'!I$22&lt;1,0,'COEF Art 14 F I'!$AD42*'PART 2025'!$I$22)</f>
        <v>316311.38442605681</v>
      </c>
      <c r="H41" s="106">
        <f>IF('PART 2025'!I$23&lt;1,0,'COEF Art 14 F I'!$AD42*'PART 2025'!$I$23)</f>
        <v>18451.494315776483</v>
      </c>
    </row>
    <row r="42" spans="1:8" ht="12.75" customHeight="1">
      <c r="A42" s="85">
        <v>45</v>
      </c>
      <c r="B42" s="95" t="s">
        <v>26</v>
      </c>
      <c r="C42" s="89">
        <f>IF('PART 2025'!I$18&lt;1,0,'COEF Art 14 F I'!$AD43*'PART 2025'!$I$18)</f>
        <v>19067063.288900312</v>
      </c>
      <c r="D42" s="89">
        <f>IF('PART 2025'!I$19&lt;1,0,'COEF Art 14 F I'!$AD43*'PART 2025'!$I$19)</f>
        <v>3329056.8006464066</v>
      </c>
      <c r="E42" s="89">
        <f>IF('PART 2025'!I$20&lt;1,0,'COEF Art 14 F I'!$AD43*'PART 2025'!$I$20)</f>
        <v>319986.48010937747</v>
      </c>
      <c r="F42" s="89">
        <f>IF('PART 2025'!I$21&lt;1,0,'COEF Art 14 F I'!$AD43*'PART 2025'!$I$21)</f>
        <v>1600688.8370489168</v>
      </c>
      <c r="G42" s="89">
        <f>IF('PART 2025'!I$22&lt;1,0,'COEF Art 14 F I'!$AD43*'PART 2025'!$I$22)</f>
        <v>774175.7893469655</v>
      </c>
      <c r="H42" s="106">
        <f>IF('PART 2025'!I$23&lt;1,0,'COEF Art 14 F I'!$AD43*'PART 2025'!$I$23)</f>
        <v>45160.246769071309</v>
      </c>
    </row>
    <row r="43" spans="1:8" ht="12.75" customHeight="1">
      <c r="A43" s="85">
        <v>70</v>
      </c>
      <c r="B43" s="95" t="s">
        <v>27</v>
      </c>
      <c r="C43" s="89">
        <f>IF('PART 2025'!I$18&lt;1,0,'COEF Art 14 F I'!$AD44*'PART 2025'!$I$18)</f>
        <v>525022468.9493717</v>
      </c>
      <c r="D43" s="89">
        <f>IF('PART 2025'!I$19&lt;1,0,'COEF Art 14 F I'!$AD44*'PART 2025'!$I$19)</f>
        <v>91667478.849013567</v>
      </c>
      <c r="E43" s="89">
        <f>IF('PART 2025'!I$20&lt;1,0,'COEF Art 14 F I'!$AD44*'PART 2025'!$I$20)</f>
        <v>8811010.3413378727</v>
      </c>
      <c r="F43" s="89">
        <f>IF('PART 2025'!I$21&lt;1,0,'COEF Art 14 F I'!$AD44*'PART 2025'!$I$21)</f>
        <v>44075880.617459811</v>
      </c>
      <c r="G43" s="89">
        <f>IF('PART 2025'!I$22&lt;1,0,'COEF Art 14 F I'!$AD44*'PART 2025'!$I$22)</f>
        <v>21317372.17028008</v>
      </c>
      <c r="H43" s="106">
        <f>IF('PART 2025'!I$23&lt;1,0,'COEF Art 14 F I'!$AD44*'PART 2025'!$I$23)</f>
        <v>1243513.1670677001</v>
      </c>
    </row>
    <row r="44" spans="1:8" ht="12.75" customHeight="1">
      <c r="A44" s="85">
        <v>50</v>
      </c>
      <c r="B44" s="95" t="s">
        <v>127</v>
      </c>
      <c r="C44" s="89">
        <f>IF('PART 2025'!I$18&lt;1,0,'COEF Art 14 F I'!$AD45*'PART 2025'!$I$18)</f>
        <v>3955359.7282233899</v>
      </c>
      <c r="D44" s="89">
        <f>IF('PART 2025'!I$19&lt;1,0,'COEF Art 14 F I'!$AD45*'PART 2025'!$I$19)</f>
        <v>690594.92816129606</v>
      </c>
      <c r="E44" s="89">
        <f>IF('PART 2025'!I$20&lt;1,0,'COEF Art 14 F I'!$AD45*'PART 2025'!$I$20)</f>
        <v>66379.474270554172</v>
      </c>
      <c r="F44" s="89">
        <f>IF('PART 2025'!I$21&lt;1,0,'COEF Art 14 F I'!$AD45*'PART 2025'!$I$21)</f>
        <v>332054.29003666848</v>
      </c>
      <c r="G44" s="89">
        <f>IF('PART 2025'!I$22&lt;1,0,'COEF Art 14 F I'!$AD45*'PART 2025'!$I$22)</f>
        <v>160598.60364186947</v>
      </c>
      <c r="H44" s="106">
        <f>IF('PART 2025'!I$23&lt;1,0,'COEF Art 14 F I'!$AD45*'PART 2025'!$I$23)</f>
        <v>9368.2503005588569</v>
      </c>
    </row>
    <row r="45" spans="1:8" ht="12.75" customHeight="1">
      <c r="A45" s="85">
        <v>51</v>
      </c>
      <c r="B45" s="95" t="s">
        <v>128</v>
      </c>
      <c r="C45" s="89">
        <f>IF('PART 2025'!I$18&lt;1,0,'COEF Art 14 F I'!$AD46*'PART 2025'!$I$18)</f>
        <v>31558363.547555197</v>
      </c>
      <c r="D45" s="89">
        <f>IF('PART 2025'!I$19&lt;1,0,'COEF Art 14 F I'!$AD46*'PART 2025'!$I$19)</f>
        <v>5510003.4647925878</v>
      </c>
      <c r="E45" s="89">
        <f>IF('PART 2025'!I$20&lt;1,0,'COEF Art 14 F I'!$AD46*'PART 2025'!$I$20)</f>
        <v>529617.46214336331</v>
      </c>
      <c r="F45" s="89">
        <f>IF('PART 2025'!I$21&lt;1,0,'COEF Art 14 F I'!$AD46*'PART 2025'!$I$21)</f>
        <v>2649339.3073022366</v>
      </c>
      <c r="G45" s="89">
        <f>IF('PART 2025'!I$22&lt;1,0,'COEF Art 14 F I'!$AD46*'PART 2025'!$I$22)</f>
        <v>1281357.3144297325</v>
      </c>
      <c r="H45" s="106">
        <f>IF('PART 2025'!I$23&lt;1,0,'COEF Art 14 F I'!$AD46*'PART 2025'!$I$23)</f>
        <v>74745.830747061758</v>
      </c>
    </row>
    <row r="46" spans="1:8" ht="12.75" customHeight="1">
      <c r="A46" s="85">
        <v>52</v>
      </c>
      <c r="B46" s="95" t="s">
        <v>129</v>
      </c>
      <c r="C46" s="89">
        <f>IF('PART 2025'!I$18&lt;1,0,'COEF Art 14 F I'!$AD47*'PART 2025'!$I$18)</f>
        <v>4528903.1090956368</v>
      </c>
      <c r="D46" s="89">
        <f>IF('PART 2025'!I$19&lt;1,0,'COEF Art 14 F I'!$AD47*'PART 2025'!$I$19)</f>
        <v>790734.02476092812</v>
      </c>
      <c r="E46" s="89">
        <f>IF('PART 2025'!I$20&lt;1,0,'COEF Art 14 F I'!$AD47*'PART 2025'!$I$20)</f>
        <v>76004.770251093563</v>
      </c>
      <c r="F46" s="89">
        <f>IF('PART 2025'!I$21&lt;1,0,'COEF Art 14 F I'!$AD47*'PART 2025'!$I$21)</f>
        <v>380203.52379202825</v>
      </c>
      <c r="G46" s="89">
        <f>IF('PART 2025'!I$22&lt;1,0,'COEF Art 14 F I'!$AD47*'PART 2025'!$I$22)</f>
        <v>183886.05975840645</v>
      </c>
      <c r="H46" s="106">
        <f>IF('PART 2025'!I$23&lt;1,0,'COEF Art 14 F I'!$AD47*'PART 2025'!$I$23)</f>
        <v>10726.685011793928</v>
      </c>
    </row>
    <row r="47" spans="1:8" ht="12.75" customHeight="1">
      <c r="A47" s="85">
        <v>53</v>
      </c>
      <c r="B47" s="95" t="s">
        <v>28</v>
      </c>
      <c r="C47" s="89">
        <f>IF('PART 2025'!I$18&lt;1,0,'COEF Art 14 F I'!$AD48*'PART 2025'!$I$18)</f>
        <v>4022623.8877796754</v>
      </c>
      <c r="D47" s="89">
        <f>IF('PART 2025'!I$19&lt;1,0,'COEF Art 14 F I'!$AD48*'PART 2025'!$I$19)</f>
        <v>702339.0653898631</v>
      </c>
      <c r="E47" s="89">
        <f>IF('PART 2025'!I$20&lt;1,0,'COEF Art 14 F I'!$AD48*'PART 2025'!$I$20)</f>
        <v>67508.312064178172</v>
      </c>
      <c r="F47" s="89">
        <f>IF('PART 2025'!I$21&lt;1,0,'COEF Art 14 F I'!$AD48*'PART 2025'!$I$21)</f>
        <v>337701.1475366329</v>
      </c>
      <c r="G47" s="89">
        <f>IF('PART 2025'!I$22&lt;1,0,'COEF Art 14 F I'!$AD48*'PART 2025'!$I$22)</f>
        <v>163329.71556142563</v>
      </c>
      <c r="H47" s="106">
        <f>IF('PART 2025'!I$23&lt;1,0,'COEF Art 14 F I'!$AD48*'PART 2025'!$I$23)</f>
        <v>9527.5651356884173</v>
      </c>
    </row>
    <row r="48" spans="1:8" ht="12.75" customHeight="1">
      <c r="A48" s="85">
        <v>54</v>
      </c>
      <c r="B48" s="95" t="s">
        <v>29</v>
      </c>
      <c r="C48" s="89">
        <f>IF('PART 2025'!I$18&lt;1,0,'COEF Art 14 F I'!$AD49*'PART 2025'!$I$18)</f>
        <v>10764491.61121201</v>
      </c>
      <c r="D48" s="89">
        <f>IF('PART 2025'!I$19&lt;1,0,'COEF Art 14 F I'!$AD49*'PART 2025'!$I$19)</f>
        <v>1879450.6244004469</v>
      </c>
      <c r="E48" s="89">
        <f>IF('PART 2025'!I$20&lt;1,0,'COEF Art 14 F I'!$AD49*'PART 2025'!$I$20)</f>
        <v>180651.40544447798</v>
      </c>
      <c r="F48" s="89">
        <f>IF('PART 2025'!I$21&lt;1,0,'COEF Art 14 F I'!$AD49*'PART 2025'!$I$21)</f>
        <v>903684.08063156658</v>
      </c>
      <c r="G48" s="89">
        <f>IF('PART 2025'!I$22&lt;1,0,'COEF Art 14 F I'!$AD49*'PART 2025'!$I$22)</f>
        <v>437068.29225663538</v>
      </c>
      <c r="H48" s="106">
        <f>IF('PART 2025'!I$23&lt;1,0,'COEF Art 14 F I'!$AD49*'PART 2025'!$I$23)</f>
        <v>25495.646085620647</v>
      </c>
    </row>
    <row r="49" spans="1:8" ht="12.75" customHeight="1">
      <c r="A49" s="85">
        <v>55</v>
      </c>
      <c r="B49" s="95" t="s">
        <v>30</v>
      </c>
      <c r="C49" s="89">
        <f>IF('PART 2025'!I$18&lt;1,0,'COEF Art 14 F I'!$AD50*'PART 2025'!$I$18)</f>
        <v>26083176.540990885</v>
      </c>
      <c r="D49" s="89">
        <f>IF('PART 2025'!I$19&lt;1,0,'COEF Art 14 F I'!$AD50*'PART 2025'!$I$19)</f>
        <v>4554050.8745672991</v>
      </c>
      <c r="E49" s="89">
        <f>IF('PART 2025'!I$20&lt;1,0,'COEF Art 14 F I'!$AD50*'PART 2025'!$I$20)</f>
        <v>437732.00544636825</v>
      </c>
      <c r="F49" s="89">
        <f>IF('PART 2025'!I$21&lt;1,0,'COEF Art 14 F I'!$AD50*'PART 2025'!$I$21)</f>
        <v>2189694.809910513</v>
      </c>
      <c r="G49" s="89">
        <f>IF('PART 2025'!I$22&lt;1,0,'COEF Art 14 F I'!$AD50*'PART 2025'!$I$22)</f>
        <v>1059049.4971007407</v>
      </c>
      <c r="H49" s="106">
        <f>IF('PART 2025'!I$23&lt;1,0,'COEF Art 14 F I'!$AD50*'PART 2025'!$I$23)</f>
        <v>61777.876921304145</v>
      </c>
    </row>
    <row r="50" spans="1:8" ht="12.75" customHeight="1">
      <c r="A50" s="85">
        <v>58</v>
      </c>
      <c r="B50" s="95" t="s">
        <v>130</v>
      </c>
      <c r="C50" s="89">
        <f>IF('PART 2025'!I$18&lt;1,0,'COEF Art 14 F I'!$AD51*'PART 2025'!$I$18)</f>
        <v>150763438.98389584</v>
      </c>
      <c r="D50" s="89">
        <f>IF('PART 2025'!I$19&lt;1,0,'COEF Art 14 F I'!$AD51*'PART 2025'!$I$19)</f>
        <v>26322881.727169476</v>
      </c>
      <c r="E50" s="89">
        <f>IF('PART 2025'!I$20&lt;1,0,'COEF Art 14 F I'!$AD51*'PART 2025'!$I$20)</f>
        <v>2530135.9437835105</v>
      </c>
      <c r="F50" s="89">
        <f>IF('PART 2025'!I$21&lt;1,0,'COEF Art 14 F I'!$AD51*'PART 2025'!$I$21)</f>
        <v>12656660.869065899</v>
      </c>
      <c r="G50" s="89">
        <f>IF('PART 2025'!I$22&lt;1,0,'COEF Art 14 F I'!$AD51*'PART 2025'!$I$22)</f>
        <v>6121414.850915527</v>
      </c>
      <c r="H50" s="106">
        <f>IF('PART 2025'!I$23&lt;1,0,'COEF Art 14 F I'!$AD51*'PART 2025'!$I$23)</f>
        <v>357082.47280167497</v>
      </c>
    </row>
    <row r="51" spans="1:8" ht="12.75" customHeight="1">
      <c r="A51" s="85">
        <v>31</v>
      </c>
      <c r="B51" s="95" t="s">
        <v>131</v>
      </c>
      <c r="C51" s="89">
        <f>IF('PART 2025'!I$18&lt;1,0,'COEF Art 14 F I'!$AD52*'PART 2025'!$I$18)</f>
        <v>295576207.1063931</v>
      </c>
      <c r="D51" s="89">
        <f>IF('PART 2025'!I$19&lt;1,0,'COEF Art 14 F I'!$AD52*'PART 2025'!$I$19)</f>
        <v>51606792.691018537</v>
      </c>
      <c r="E51" s="89">
        <f>IF('PART 2025'!I$20&lt;1,0,'COEF Art 14 F I'!$AD52*'PART 2025'!$I$20)</f>
        <v>4960406.7854074854</v>
      </c>
      <c r="F51" s="89">
        <f>IF('PART 2025'!I$21&lt;1,0,'COEF Art 14 F I'!$AD52*'PART 2025'!$I$21)</f>
        <v>24813760.149833202</v>
      </c>
      <c r="G51" s="89">
        <f>IF('PART 2025'!I$22&lt;1,0,'COEF Art 14 F I'!$AD52*'PART 2025'!$I$22)</f>
        <v>12001215.917816969</v>
      </c>
      <c r="H51" s="106">
        <f>IF('PART 2025'!I$23&lt;1,0,'COEF Art 14 F I'!$AD52*'PART 2025'!$I$23)</f>
        <v>700070.81057739013</v>
      </c>
    </row>
    <row r="52" spans="1:8" ht="12.75" customHeight="1">
      <c r="A52" s="85">
        <v>57</v>
      </c>
      <c r="B52" s="95" t="s">
        <v>31</v>
      </c>
      <c r="C52" s="89">
        <f>IF('PART 2025'!I$18&lt;1,0,'COEF Art 14 F I'!$AD53*'PART 2025'!$I$18)</f>
        <v>76193911.34386684</v>
      </c>
      <c r="D52" s="89">
        <f>IF('PART 2025'!I$19&lt;1,0,'COEF Art 14 F I'!$AD53*'PART 2025'!$I$19)</f>
        <v>13303247.326755932</v>
      </c>
      <c r="E52" s="89">
        <f>IF('PART 2025'!I$20&lt;1,0,'COEF Art 14 F I'!$AD53*'PART 2025'!$I$20)</f>
        <v>1278698.304362532</v>
      </c>
      <c r="F52" s="89">
        <f>IF('PART 2025'!I$21&lt;1,0,'COEF Art 14 F I'!$AD53*'PART 2025'!$I$21)</f>
        <v>6396514.3185013598</v>
      </c>
      <c r="G52" s="89">
        <f>IF('PART 2025'!I$22&lt;1,0,'COEF Art 14 F I'!$AD53*'PART 2025'!$I$22)</f>
        <v>3093684.6731090331</v>
      </c>
      <c r="H52" s="106">
        <f>IF('PART 2025'!I$23&lt;1,0,'COEF Art 14 F I'!$AD53*'PART 2025'!$I$23)</f>
        <v>180464.90885635608</v>
      </c>
    </row>
    <row r="53" spans="1:8" ht="12.75" customHeight="1">
      <c r="A53" s="85">
        <v>56</v>
      </c>
      <c r="B53" s="95" t="s">
        <v>32</v>
      </c>
      <c r="C53" s="89">
        <f>IF('PART 2025'!I$18&lt;1,0,'COEF Art 14 F I'!$AD54*'PART 2025'!$I$18)</f>
        <v>35023641.160496734</v>
      </c>
      <c r="D53" s="89">
        <f>IF('PART 2025'!I$19&lt;1,0,'COEF Art 14 F I'!$AD54*'PART 2025'!$I$19)</f>
        <v>6115031.4037414454</v>
      </c>
      <c r="E53" s="89">
        <f>IF('PART 2025'!I$20&lt;1,0,'COEF Art 14 F I'!$AD54*'PART 2025'!$I$20)</f>
        <v>587772.3006292925</v>
      </c>
      <c r="F53" s="89">
        <f>IF('PART 2025'!I$21&lt;1,0,'COEF Art 14 F I'!$AD54*'PART 2025'!$I$21)</f>
        <v>2940250.9756733207</v>
      </c>
      <c r="G53" s="89">
        <f>IF('PART 2025'!I$22&lt;1,0,'COEF Art 14 F I'!$AD54*'PART 2025'!$I$22)</f>
        <v>1422057.2214189281</v>
      </c>
      <c r="H53" s="106">
        <f>IF('PART 2025'!I$23&lt;1,0,'COEF Art 14 F I'!$AD54*'PART 2025'!$I$23)</f>
        <v>82953.323938468893</v>
      </c>
    </row>
    <row r="54" spans="1:8" ht="12.75" customHeight="1">
      <c r="A54" s="85">
        <v>59</v>
      </c>
      <c r="B54" s="95" t="s">
        <v>33</v>
      </c>
      <c r="C54" s="89">
        <f>IF('PART 2025'!I$18&lt;1,0,'COEF Art 14 F I'!$AD55*'PART 2025'!$I$18)</f>
        <v>7720697.709839425</v>
      </c>
      <c r="D54" s="89">
        <f>IF('PART 2025'!I$19&lt;1,0,'COEF Art 14 F I'!$AD55*'PART 2025'!$I$19)</f>
        <v>1348012.5820759502</v>
      </c>
      <c r="E54" s="89">
        <f>IF('PART 2025'!I$20&lt;1,0,'COEF Art 14 F I'!$AD55*'PART 2025'!$I$20)</f>
        <v>129569.97345250515</v>
      </c>
      <c r="F54" s="89">
        <f>IF('PART 2025'!I$21&lt;1,0,'COEF Art 14 F I'!$AD55*'PART 2025'!$I$21)</f>
        <v>648156.16600818827</v>
      </c>
      <c r="G54" s="89">
        <f>IF('PART 2025'!I$22&lt;1,0,'COEF Art 14 F I'!$AD55*'PART 2025'!$I$22)</f>
        <v>313481.79597766348</v>
      </c>
      <c r="H54" s="106">
        <f>IF('PART 2025'!I$23&lt;1,0,'COEF Art 14 F I'!$AD55*'PART 2025'!$I$23)</f>
        <v>18286.435017432697</v>
      </c>
    </row>
    <row r="55" spans="1:8" ht="12.75" customHeight="1">
      <c r="A55" s="85">
        <v>60</v>
      </c>
      <c r="B55" s="95" t="s">
        <v>34</v>
      </c>
      <c r="C55" s="89">
        <f>IF('PART 2025'!I$18&lt;1,0,'COEF Art 14 F I'!$AD56*'PART 2025'!$I$18)</f>
        <v>5818182.762222195</v>
      </c>
      <c r="D55" s="89">
        <f>IF('PART 2025'!I$19&lt;1,0,'COEF Art 14 F I'!$AD56*'PART 2025'!$I$19)</f>
        <v>1015838.7056519073</v>
      </c>
      <c r="E55" s="89">
        <f>IF('PART 2025'!I$20&lt;1,0,'COEF Art 14 F I'!$AD56*'PART 2025'!$I$20)</f>
        <v>97641.665866831579</v>
      </c>
      <c r="F55" s="89">
        <f>IF('PART 2025'!I$21&lt;1,0,'COEF Art 14 F I'!$AD56*'PART 2025'!$I$21)</f>
        <v>488439.15071184677</v>
      </c>
      <c r="G55" s="89">
        <f>IF('PART 2025'!I$22&lt;1,0,'COEF Art 14 F I'!$AD56*'PART 2025'!$I$22)</f>
        <v>236234.39877762421</v>
      </c>
      <c r="H55" s="106">
        <f>IF('PART 2025'!I$23&lt;1,0,'COEF Art 14 F I'!$AD56*'PART 2025'!$I$23)</f>
        <v>13780.33760670783</v>
      </c>
    </row>
    <row r="56" spans="1:8" s="43" customFormat="1" ht="16.5" customHeight="1">
      <c r="B56" s="97" t="s">
        <v>35</v>
      </c>
      <c r="C56" s="98">
        <f>SUM(C5:C55)</f>
        <v>2162077647.7523918</v>
      </c>
      <c r="D56" s="98">
        <f t="shared" ref="D56:H56" si="0">SUM(D5:D55)</f>
        <v>377492809.86368442</v>
      </c>
      <c r="E56" s="98">
        <f t="shared" si="0"/>
        <v>36284329.985425442</v>
      </c>
      <c r="F56" s="98">
        <f t="shared" si="0"/>
        <v>181507424.77499974</v>
      </c>
      <c r="G56" s="98">
        <f t="shared" si="0"/>
        <v>87786364.591999844</v>
      </c>
      <c r="H56" s="107">
        <f t="shared" si="0"/>
        <v>5120870.4049999826</v>
      </c>
    </row>
    <row r="57" spans="1:8">
      <c r="C57" s="44"/>
      <c r="G57" s="45"/>
    </row>
    <row r="58" spans="1:8">
      <c r="B58" s="64"/>
      <c r="C58" s="46"/>
    </row>
    <row r="59" spans="1:8">
      <c r="B59" s="64"/>
      <c r="C59" s="47"/>
    </row>
    <row r="63" spans="1:8">
      <c r="F63" s="48"/>
    </row>
  </sheetData>
  <mergeCells count="3">
    <mergeCell ref="B1:H1"/>
    <mergeCell ref="B3:B4"/>
    <mergeCell ref="C3:H3"/>
  </mergeCells>
  <printOptions horizontalCentered="1"/>
  <pageMargins left="0.19685039370078741" right="0.19685039370078741" top="0.39370078740157483" bottom="0.19685039370078741" header="0.11811023622047245" footer="0.15748031496062992"/>
  <pageSetup scale="90" orientation="portrait" r:id="rId1"/>
  <headerFooter alignWithMargins="0">
    <oddHeader>&amp;LANEXO 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1"/>
  <sheetViews>
    <sheetView showGridLines="0" zoomScaleNormal="100" workbookViewId="0">
      <selection activeCell="M51" sqref="M51"/>
    </sheetView>
  </sheetViews>
  <sheetFormatPr baseColWidth="10" defaultColWidth="9.7109375" defaultRowHeight="12.75"/>
  <cols>
    <col min="1" max="1" width="3" style="2" bestFit="1" customWidth="1"/>
    <col min="2" max="2" width="27.140625" style="2" customWidth="1"/>
    <col min="3" max="3" width="16.7109375" style="2" customWidth="1"/>
    <col min="4" max="4" width="16.7109375" style="13" customWidth="1"/>
    <col min="5" max="5" width="16.7109375" style="2" customWidth="1"/>
    <col min="6" max="7" width="16.7109375" style="13" customWidth="1"/>
    <col min="8" max="11" width="16.7109375" style="2" customWidth="1"/>
    <col min="12" max="12" width="16.7109375" style="13" customWidth="1"/>
    <col min="13" max="16384" width="9.7109375" style="2"/>
  </cols>
  <sheetData>
    <row r="1" spans="1:12" s="24" customFormat="1" ht="15.75">
      <c r="B1" s="263" t="s">
        <v>90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3" spans="1:12" ht="28.5" customHeight="1" thickBot="1">
      <c r="C3" s="264" t="s">
        <v>69</v>
      </c>
      <c r="D3" s="265"/>
      <c r="E3" s="266" t="s">
        <v>71</v>
      </c>
      <c r="F3" s="266"/>
      <c r="G3" s="224" t="s">
        <v>70</v>
      </c>
      <c r="H3" s="225"/>
      <c r="I3" s="225"/>
      <c r="J3" s="225"/>
      <c r="K3" s="225"/>
      <c r="L3" s="226"/>
    </row>
    <row r="4" spans="1:12" ht="39" customHeight="1" thickBot="1">
      <c r="B4" s="1" t="s">
        <v>0</v>
      </c>
      <c r="C4" s="1" t="s">
        <v>136</v>
      </c>
      <c r="D4" s="32" t="s">
        <v>60</v>
      </c>
      <c r="E4" s="16" t="s">
        <v>180</v>
      </c>
      <c r="F4" s="32" t="s">
        <v>61</v>
      </c>
      <c r="G4" s="86" t="s">
        <v>177</v>
      </c>
      <c r="H4" s="33" t="s">
        <v>64</v>
      </c>
      <c r="I4" s="33" t="s">
        <v>208</v>
      </c>
      <c r="J4" s="33" t="s">
        <v>209</v>
      </c>
      <c r="K4" s="33" t="s">
        <v>178</v>
      </c>
      <c r="L4" s="34" t="s">
        <v>59</v>
      </c>
    </row>
    <row r="5" spans="1:12" s="4" customFormat="1" ht="11.25">
      <c r="B5" s="17"/>
      <c r="C5" s="10" t="s">
        <v>40</v>
      </c>
      <c r="D5" s="31" t="s">
        <v>49</v>
      </c>
      <c r="E5" s="18" t="s">
        <v>39</v>
      </c>
      <c r="F5" s="31" t="s">
        <v>50</v>
      </c>
      <c r="G5" s="28" t="s">
        <v>46</v>
      </c>
      <c r="H5" s="3">
        <f>+K5*0.35</f>
        <v>50608665.449999996</v>
      </c>
      <c r="I5" s="3">
        <f>+K5*0.35</f>
        <v>50608665.449999996</v>
      </c>
      <c r="J5" s="3">
        <f>+K5*0.3</f>
        <v>43378856.100000001</v>
      </c>
      <c r="K5" s="3">
        <f>+'PART 2025'!G26</f>
        <v>144596187</v>
      </c>
      <c r="L5" s="35"/>
    </row>
    <row r="6" spans="1:12" s="6" customFormat="1" ht="23.25" customHeight="1">
      <c r="B6" s="5"/>
      <c r="C6" s="5"/>
      <c r="D6" s="19"/>
      <c r="E6" s="20"/>
      <c r="F6" s="21"/>
      <c r="G6" s="8"/>
      <c r="H6" s="3" t="s">
        <v>62</v>
      </c>
      <c r="I6" s="3" t="s">
        <v>45</v>
      </c>
      <c r="J6" s="3" t="s">
        <v>63</v>
      </c>
      <c r="K6" s="10" t="s">
        <v>72</v>
      </c>
      <c r="L6" s="36" t="s">
        <v>47</v>
      </c>
    </row>
    <row r="7" spans="1:12">
      <c r="A7" s="85">
        <v>15</v>
      </c>
      <c r="B7" s="94" t="s">
        <v>1</v>
      </c>
      <c r="C7" s="111">
        <v>2974</v>
      </c>
      <c r="D7" s="112">
        <f t="shared" ref="D7:D57" si="0">+C7/$C$58</f>
        <v>5.141377508841821E-4</v>
      </c>
      <c r="E7" s="113">
        <v>3223</v>
      </c>
      <c r="F7" s="112">
        <f t="shared" ref="F7:F58" si="1">(E7/E$58)</f>
        <v>5.1092237261379987E-4</v>
      </c>
      <c r="G7" s="114">
        <f>+'COEF Art 14 F I'!AD6</f>
        <v>7.9739269398621491E-4</v>
      </c>
      <c r="H7" s="113">
        <f t="shared" ref="H7:H38" si="2">+D7*H$5</f>
        <v>26019.825429713012</v>
      </c>
      <c r="I7" s="113">
        <f t="shared" ref="I7:I38" si="3">+F7*I$5</f>
        <v>25857.099426532037</v>
      </c>
      <c r="J7" s="113">
        <f t="shared" ref="J7:J38" si="4">+G7*J$5</f>
        <v>34589.982927619356</v>
      </c>
      <c r="K7" s="113">
        <f>SUM(H7:J7)</f>
        <v>86466.907783864415</v>
      </c>
      <c r="L7" s="115">
        <f>ROUND(+K7/K$58,8)</f>
        <v>5.9798999999999996E-4</v>
      </c>
    </row>
    <row r="8" spans="1:12">
      <c r="A8" s="85">
        <v>11</v>
      </c>
      <c r="B8" s="95" t="s">
        <v>2</v>
      </c>
      <c r="C8" s="108">
        <v>3382</v>
      </c>
      <c r="D8" s="109">
        <f t="shared" si="0"/>
        <v>5.8467177992276519E-4</v>
      </c>
      <c r="E8" s="92">
        <v>4375</v>
      </c>
      <c r="F8" s="109">
        <f t="shared" si="1"/>
        <v>6.9354184926632783E-4</v>
      </c>
      <c r="G8" s="110">
        <f>+'COEF Art 14 F I'!AD7</f>
        <v>1.2733237874634291E-3</v>
      </c>
      <c r="H8" s="92">
        <f t="shared" si="2"/>
        <v>29589.458508167249</v>
      </c>
      <c r="I8" s="92">
        <f t="shared" si="3"/>
        <v>35099.227425093908</v>
      </c>
      <c r="J8" s="92">
        <f t="shared" si="4"/>
        <v>55235.329345083075</v>
      </c>
      <c r="K8" s="92">
        <f t="shared" ref="K8:K57" si="5">SUM(H8:J8)</f>
        <v>119924.01527834423</v>
      </c>
      <c r="L8" s="116">
        <f t="shared" ref="L8:L57" si="6">ROUND(+K8/K$58,8)</f>
        <v>8.2936999999999996E-4</v>
      </c>
    </row>
    <row r="9" spans="1:12">
      <c r="A9" s="85">
        <v>12</v>
      </c>
      <c r="B9" s="95" t="s">
        <v>132</v>
      </c>
      <c r="C9" s="108">
        <v>1407</v>
      </c>
      <c r="D9" s="109">
        <f t="shared" si="0"/>
        <v>2.4323867366981983E-4</v>
      </c>
      <c r="E9" s="92">
        <v>1481</v>
      </c>
      <c r="F9" s="109">
        <f t="shared" si="1"/>
        <v>2.3477382371735577E-4</v>
      </c>
      <c r="G9" s="110">
        <f>+'COEF Art 14 F I'!AD8</f>
        <v>1.5909128490196795E-3</v>
      </c>
      <c r="H9" s="92">
        <f t="shared" si="2"/>
        <v>12309.984660257634</v>
      </c>
      <c r="I9" s="92">
        <f t="shared" si="3"/>
        <v>11881.589900928933</v>
      </c>
      <c r="J9" s="92">
        <f t="shared" si="4"/>
        <v>69011.979545265713</v>
      </c>
      <c r="K9" s="92">
        <f t="shared" si="5"/>
        <v>93203.554106452284</v>
      </c>
      <c r="L9" s="116">
        <f t="shared" si="6"/>
        <v>6.4457999999999996E-4</v>
      </c>
    </row>
    <row r="10" spans="1:12" ht="13.5" customHeight="1">
      <c r="A10" s="85">
        <v>13</v>
      </c>
      <c r="B10" s="95" t="s">
        <v>3</v>
      </c>
      <c r="C10" s="108">
        <v>35289</v>
      </c>
      <c r="D10" s="109">
        <f t="shared" si="0"/>
        <v>6.1006748792709828E-3</v>
      </c>
      <c r="E10" s="92">
        <v>35029</v>
      </c>
      <c r="F10" s="109">
        <f t="shared" si="1"/>
        <v>5.552931985817188E-3</v>
      </c>
      <c r="G10" s="110">
        <f>+'COEF Art 14 F I'!AD9</f>
        <v>5.9134184434035562E-3</v>
      </c>
      <c r="H10" s="92">
        <f t="shared" si="2"/>
        <v>308747.01398424426</v>
      </c>
      <c r="I10" s="92">
        <f t="shared" si="3"/>
        <v>281026.4771368262</v>
      </c>
      <c r="J10" s="92">
        <f t="shared" si="4"/>
        <v>256517.32771548888</v>
      </c>
      <c r="K10" s="92">
        <f t="shared" si="5"/>
        <v>846290.81883655931</v>
      </c>
      <c r="L10" s="116">
        <f t="shared" si="6"/>
        <v>5.8527900000000001E-3</v>
      </c>
    </row>
    <row r="11" spans="1:12">
      <c r="A11" s="85">
        <v>14</v>
      </c>
      <c r="B11" s="95" t="s">
        <v>133</v>
      </c>
      <c r="C11" s="108">
        <v>18030</v>
      </c>
      <c r="D11" s="109">
        <f t="shared" si="0"/>
        <v>3.1169817244256232E-3</v>
      </c>
      <c r="E11" s="92">
        <v>17078</v>
      </c>
      <c r="F11" s="109">
        <f t="shared" si="1"/>
        <v>2.7072703318332223E-3</v>
      </c>
      <c r="G11" s="110">
        <f>+'COEF Art 14 F I'!AD10</f>
        <v>5.2922837407629363E-3</v>
      </c>
      <c r="H11" s="92">
        <f t="shared" si="2"/>
        <v>157746.28530522046</v>
      </c>
      <c r="I11" s="92">
        <f t="shared" si="3"/>
        <v>137011.33850645801</v>
      </c>
      <c r="J11" s="92">
        <f t="shared" si="4"/>
        <v>229573.21483092514</v>
      </c>
      <c r="K11" s="92">
        <f t="shared" si="5"/>
        <v>524330.8386426036</v>
      </c>
      <c r="L11" s="116">
        <f t="shared" si="6"/>
        <v>3.6261700000000002E-3</v>
      </c>
    </row>
    <row r="12" spans="1:12">
      <c r="A12" s="85">
        <v>17</v>
      </c>
      <c r="B12" s="95" t="s">
        <v>4</v>
      </c>
      <c r="C12" s="108">
        <v>656464</v>
      </c>
      <c r="D12" s="109">
        <f t="shared" si="0"/>
        <v>0.11348786970290306</v>
      </c>
      <c r="E12" s="92">
        <v>730930</v>
      </c>
      <c r="F12" s="109">
        <f t="shared" si="1"/>
        <v>0.11586983860211132</v>
      </c>
      <c r="G12" s="110">
        <f>+'COEF Art 14 F I'!AD11</f>
        <v>8.2682839682754833E-2</v>
      </c>
      <c r="H12" s="92">
        <f t="shared" si="2"/>
        <v>5743469.6304274118</v>
      </c>
      <c r="I12" s="92">
        <f t="shared" si="3"/>
        <v>5864017.8975597471</v>
      </c>
      <c r="J12" s="92">
        <f t="shared" si="4"/>
        <v>3586687.0045375917</v>
      </c>
      <c r="K12" s="92">
        <f t="shared" si="5"/>
        <v>15194174.532524751</v>
      </c>
      <c r="L12" s="116">
        <f t="shared" si="6"/>
        <v>0.10508004999999999</v>
      </c>
    </row>
    <row r="13" spans="1:12">
      <c r="A13" s="85">
        <v>16</v>
      </c>
      <c r="B13" s="95" t="s">
        <v>5</v>
      </c>
      <c r="C13" s="108">
        <v>14992</v>
      </c>
      <c r="D13" s="109">
        <f t="shared" si="0"/>
        <v>2.5917798121236242E-3</v>
      </c>
      <c r="E13" s="92">
        <v>14190</v>
      </c>
      <c r="F13" s="109">
        <f t="shared" si="1"/>
        <v>2.2494534493918152E-3</v>
      </c>
      <c r="G13" s="110">
        <f>+'COEF Art 14 F I'!AD12</f>
        <v>4.5926076331053254E-3</v>
      </c>
      <c r="H13" s="92">
        <f t="shared" si="2"/>
        <v>131166.51743182834</v>
      </c>
      <c r="I13" s="92">
        <f t="shared" si="3"/>
        <v>113841.83706561888</v>
      </c>
      <c r="J13" s="92">
        <f t="shared" si="4"/>
        <v>199222.0656402375</v>
      </c>
      <c r="K13" s="92">
        <f t="shared" si="5"/>
        <v>444230.42013768468</v>
      </c>
      <c r="L13" s="116">
        <f t="shared" si="6"/>
        <v>3.0722100000000001E-3</v>
      </c>
    </row>
    <row r="14" spans="1:12">
      <c r="A14" s="85">
        <v>18</v>
      </c>
      <c r="B14" s="95" t="s">
        <v>6</v>
      </c>
      <c r="C14" s="108">
        <v>3661</v>
      </c>
      <c r="D14" s="109">
        <f t="shared" si="0"/>
        <v>6.329046086035611E-4</v>
      </c>
      <c r="E14" s="92">
        <v>3608</v>
      </c>
      <c r="F14" s="109">
        <f t="shared" si="1"/>
        <v>5.7195405534923676E-4</v>
      </c>
      <c r="G14" s="110">
        <f>+'COEF Art 14 F I'!AD13</f>
        <v>2.8036867001983417E-3</v>
      </c>
      <c r="H14" s="92">
        <f t="shared" si="2"/>
        <v>32030.457598580811</v>
      </c>
      <c r="I14" s="92">
        <f t="shared" si="3"/>
        <v>28945.831439940303</v>
      </c>
      <c r="J14" s="92">
        <f t="shared" si="4"/>
        <v>121620.72191738771</v>
      </c>
      <c r="K14" s="92">
        <f t="shared" si="5"/>
        <v>182597.01095590883</v>
      </c>
      <c r="L14" s="116">
        <f t="shared" si="6"/>
        <v>1.2628100000000001E-3</v>
      </c>
    </row>
    <row r="15" spans="1:12">
      <c r="A15" s="85">
        <v>19</v>
      </c>
      <c r="B15" s="95" t="s">
        <v>117</v>
      </c>
      <c r="C15" s="108">
        <v>122337</v>
      </c>
      <c r="D15" s="109">
        <f t="shared" si="0"/>
        <v>2.1149317427679282E-2</v>
      </c>
      <c r="E15" s="92">
        <v>137963</v>
      </c>
      <c r="F15" s="109">
        <f t="shared" si="1"/>
        <v>2.1870426091504087E-2</v>
      </c>
      <c r="G15" s="110">
        <f>+'COEF Art 14 F I'!AD14</f>
        <v>1.3050266291877711E-2</v>
      </c>
      <c r="H15" s="92">
        <f t="shared" si="2"/>
        <v>1070338.7301932753</v>
      </c>
      <c r="I15" s="92">
        <f t="shared" si="3"/>
        <v>1106833.0773138814</v>
      </c>
      <c r="J15" s="92">
        <f t="shared" si="4"/>
        <v>566105.62354204385</v>
      </c>
      <c r="K15" s="92">
        <f t="shared" si="5"/>
        <v>2743277.4310492002</v>
      </c>
      <c r="L15" s="116">
        <f t="shared" si="6"/>
        <v>1.8971990000000001E-2</v>
      </c>
    </row>
    <row r="16" spans="1:12">
      <c r="A16" s="85">
        <v>20</v>
      </c>
      <c r="B16" s="95" t="s">
        <v>118</v>
      </c>
      <c r="C16" s="108">
        <v>104478</v>
      </c>
      <c r="D16" s="109">
        <f t="shared" si="0"/>
        <v>1.8061897759541888E-2</v>
      </c>
      <c r="E16" s="92">
        <v>133725</v>
      </c>
      <c r="F16" s="109">
        <f t="shared" si="1"/>
        <v>2.1198602009860502E-2</v>
      </c>
      <c r="G16" s="110">
        <f>+'COEF Art 14 F I'!AD15</f>
        <v>1.0710712152018194E-2</v>
      </c>
      <c r="H16" s="92">
        <f t="shared" si="2"/>
        <v>914088.5411047599</v>
      </c>
      <c r="I16" s="92">
        <f t="shared" si="3"/>
        <v>1072832.9571247275</v>
      </c>
      <c r="J16" s="92">
        <f t="shared" si="4"/>
        <v>464618.44117091858</v>
      </c>
      <c r="K16" s="92">
        <f t="shared" si="5"/>
        <v>2451539.9394004061</v>
      </c>
      <c r="L16" s="116">
        <f t="shared" si="6"/>
        <v>1.695439E-2</v>
      </c>
    </row>
    <row r="17" spans="1:12">
      <c r="A17" s="85">
        <v>23</v>
      </c>
      <c r="B17" s="95" t="s">
        <v>119</v>
      </c>
      <c r="C17" s="108">
        <v>7340</v>
      </c>
      <c r="D17" s="109">
        <f t="shared" si="0"/>
        <v>1.2689210126058832E-3</v>
      </c>
      <c r="E17" s="92">
        <v>6849</v>
      </c>
      <c r="F17" s="109">
        <f t="shared" si="1"/>
        <v>1.0857298572857323E-3</v>
      </c>
      <c r="G17" s="110">
        <f>+'COEF Art 14 F I'!AD16</f>
        <v>3.5372469760342308E-3</v>
      </c>
      <c r="H17" s="92">
        <f t="shared" si="2"/>
        <v>64218.399009446373</v>
      </c>
      <c r="I17" s="92">
        <f t="shared" si="3"/>
        <v>54947.339116449868</v>
      </c>
      <c r="J17" s="92">
        <f t="shared" si="4"/>
        <v>153441.72756354907</v>
      </c>
      <c r="K17" s="92">
        <f t="shared" si="5"/>
        <v>272607.46568944532</v>
      </c>
      <c r="L17" s="116">
        <f t="shared" si="6"/>
        <v>1.8852999999999999E-3</v>
      </c>
    </row>
    <row r="18" spans="1:12">
      <c r="A18" s="85">
        <v>21</v>
      </c>
      <c r="B18" s="95" t="s">
        <v>7</v>
      </c>
      <c r="C18" s="108">
        <v>9930</v>
      </c>
      <c r="D18" s="109">
        <f t="shared" si="0"/>
        <v>1.7166737949831634E-3</v>
      </c>
      <c r="E18" s="92">
        <v>9095</v>
      </c>
      <c r="F18" s="109">
        <f t="shared" si="1"/>
        <v>1.4417744272176576E-3</v>
      </c>
      <c r="G18" s="110">
        <f>+'COEF Art 14 F I'!AD17</f>
        <v>4.5652212519043953E-3</v>
      </c>
      <c r="H18" s="92">
        <f t="shared" si="2"/>
        <v>86878.569777084806</v>
      </c>
      <c r="I18" s="92">
        <f t="shared" si="3"/>
        <v>72966.279641423796</v>
      </c>
      <c r="J18" s="92">
        <f t="shared" si="4"/>
        <v>198034.07575102261</v>
      </c>
      <c r="K18" s="92">
        <f t="shared" si="5"/>
        <v>357878.9251695312</v>
      </c>
      <c r="L18" s="116">
        <f t="shared" si="6"/>
        <v>2.4750200000000001E-3</v>
      </c>
    </row>
    <row r="19" spans="1:12">
      <c r="A19" s="85">
        <v>22</v>
      </c>
      <c r="B19" s="95" t="s">
        <v>120</v>
      </c>
      <c r="C19" s="108">
        <v>68747</v>
      </c>
      <c r="D19" s="109">
        <f t="shared" si="0"/>
        <v>1.1884811015479108E-2</v>
      </c>
      <c r="E19" s="92">
        <v>88290</v>
      </c>
      <c r="F19" s="109">
        <f t="shared" si="1"/>
        <v>1.3996070827822648E-2</v>
      </c>
      <c r="G19" s="110">
        <f>+'COEF Art 14 F I'!AD18</f>
        <v>8.4313570137787164E-3</v>
      </c>
      <c r="H19" s="92">
        <f t="shared" si="2"/>
        <v>601474.42461885686</v>
      </c>
      <c r="I19" s="92">
        <f t="shared" si="3"/>
        <v>708322.46613978094</v>
      </c>
      <c r="J19" s="92">
        <f t="shared" si="4"/>
        <v>365742.6226284327</v>
      </c>
      <c r="K19" s="92">
        <f t="shared" si="5"/>
        <v>1675539.5133870705</v>
      </c>
      <c r="L19" s="116">
        <f t="shared" si="6"/>
        <v>1.1587719999999999E-2</v>
      </c>
    </row>
    <row r="20" spans="1:12">
      <c r="A20" s="85">
        <v>25</v>
      </c>
      <c r="B20" s="95" t="s">
        <v>8</v>
      </c>
      <c r="C20" s="108">
        <v>36088</v>
      </c>
      <c r="D20" s="109">
        <f t="shared" si="0"/>
        <v>6.2388040194715413E-3</v>
      </c>
      <c r="E20" s="92">
        <v>34339</v>
      </c>
      <c r="F20" s="109">
        <f t="shared" si="1"/>
        <v>5.4435505284471846E-3</v>
      </c>
      <c r="G20" s="110">
        <f>+'COEF Art 14 F I'!AD19</f>
        <v>1.0322716747292378E-2</v>
      </c>
      <c r="H20" s="92">
        <f t="shared" si="2"/>
        <v>315737.54542955052</v>
      </c>
      <c r="I20" s="92">
        <f t="shared" si="3"/>
        <v>275490.82755435427</v>
      </c>
      <c r="J20" s="92">
        <f t="shared" si="4"/>
        <v>447787.64434185612</v>
      </c>
      <c r="K20" s="92">
        <f t="shared" si="5"/>
        <v>1039016.0173257609</v>
      </c>
      <c r="L20" s="116">
        <f t="shared" si="6"/>
        <v>7.1856400000000001E-3</v>
      </c>
    </row>
    <row r="21" spans="1:12">
      <c r="A21" s="85">
        <v>27</v>
      </c>
      <c r="B21" s="95" t="s">
        <v>9</v>
      </c>
      <c r="C21" s="108">
        <v>1360</v>
      </c>
      <c r="D21" s="109">
        <f t="shared" si="0"/>
        <v>2.351134301286105E-4</v>
      </c>
      <c r="E21" s="92">
        <v>1151</v>
      </c>
      <c r="F21" s="109">
        <f t="shared" si="1"/>
        <v>1.8246095280126704E-4</v>
      </c>
      <c r="G21" s="110">
        <f>+'COEF Art 14 F I'!AD20</f>
        <v>1.4818643195546185E-3</v>
      </c>
      <c r="H21" s="92">
        <f t="shared" si="2"/>
        <v>11898.776928180798</v>
      </c>
      <c r="I21" s="92">
        <f t="shared" si="3"/>
        <v>9234.1053180075633</v>
      </c>
      <c r="J21" s="92">
        <f t="shared" si="4"/>
        <v>64281.579077684211</v>
      </c>
      <c r="K21" s="92">
        <f t="shared" si="5"/>
        <v>85414.461323872572</v>
      </c>
      <c r="L21" s="116">
        <f t="shared" si="6"/>
        <v>5.9071000000000004E-4</v>
      </c>
    </row>
    <row r="22" spans="1:12">
      <c r="A22" s="85">
        <v>26</v>
      </c>
      <c r="B22" s="95" t="s">
        <v>121</v>
      </c>
      <c r="C22" s="108">
        <v>3256</v>
      </c>
      <c r="D22" s="109">
        <f t="shared" si="0"/>
        <v>5.6288921213143808E-4</v>
      </c>
      <c r="E22" s="92">
        <v>3560</v>
      </c>
      <c r="F22" s="109">
        <f t="shared" si="1"/>
        <v>5.6434491048871474E-4</v>
      </c>
      <c r="G22" s="110">
        <f>+'COEF Art 14 F I'!AD21</f>
        <v>1.0149734476930926E-3</v>
      </c>
      <c r="H22" s="92">
        <f t="shared" si="2"/>
        <v>28487.071822174028</v>
      </c>
      <c r="I22" s="92">
        <f t="shared" si="3"/>
        <v>28560.742773333557</v>
      </c>
      <c r="J22" s="92">
        <f t="shared" si="4"/>
        <v>44028.387132799544</v>
      </c>
      <c r="K22" s="92">
        <f t="shared" si="5"/>
        <v>101076.20172830713</v>
      </c>
      <c r="L22" s="116">
        <f t="shared" si="6"/>
        <v>6.9901999999999996E-4</v>
      </c>
    </row>
    <row r="23" spans="1:12">
      <c r="A23" s="85">
        <v>29</v>
      </c>
      <c r="B23" s="95" t="s">
        <v>10</v>
      </c>
      <c r="C23" s="108">
        <v>40903</v>
      </c>
      <c r="D23" s="109">
        <f t="shared" si="0"/>
        <v>7.0712092886401146E-3</v>
      </c>
      <c r="E23" s="92">
        <v>39684</v>
      </c>
      <c r="F23" s="109">
        <f t="shared" si="1"/>
        <v>6.2908605134365612E-3</v>
      </c>
      <c r="G23" s="110">
        <f>+'COEF Art 14 F I'!AD22</f>
        <v>9.6451234993479174E-3</v>
      </c>
      <c r="H23" s="92">
        <f t="shared" si="2"/>
        <v>357864.46521572</v>
      </c>
      <c r="I23" s="92">
        <f t="shared" si="3"/>
        <v>318372.05511712615</v>
      </c>
      <c r="J23" s="92">
        <f t="shared" si="4"/>
        <v>418394.42434494174</v>
      </c>
      <c r="K23" s="92">
        <f t="shared" si="5"/>
        <v>1094630.9446777878</v>
      </c>
      <c r="L23" s="116">
        <f t="shared" si="6"/>
        <v>7.5702599999999997E-3</v>
      </c>
    </row>
    <row r="24" spans="1:12">
      <c r="A24" s="85">
        <v>30</v>
      </c>
      <c r="B24" s="95" t="s">
        <v>122</v>
      </c>
      <c r="C24" s="108">
        <v>397205</v>
      </c>
      <c r="D24" s="109">
        <f t="shared" si="0"/>
        <v>6.8667816186937305E-2</v>
      </c>
      <c r="E24" s="92">
        <v>477913</v>
      </c>
      <c r="F24" s="109">
        <f t="shared" si="1"/>
        <v>7.576060932763852E-2</v>
      </c>
      <c r="G24" s="110">
        <f>+'COEF Art 14 F I'!AD23</f>
        <v>3.8800037626602904E-2</v>
      </c>
      <c r="H24" s="92">
        <f t="shared" si="2"/>
        <v>3475186.5365868043</v>
      </c>
      <c r="I24" s="92">
        <f t="shared" si="3"/>
        <v>3834143.3317506071</v>
      </c>
      <c r="J24" s="92">
        <f t="shared" si="4"/>
        <v>1683101.2488789929</v>
      </c>
      <c r="K24" s="92">
        <f t="shared" si="5"/>
        <v>8992431.1172164045</v>
      </c>
      <c r="L24" s="116">
        <f t="shared" si="6"/>
        <v>6.2189960000000002E-2</v>
      </c>
    </row>
    <row r="25" spans="1:12">
      <c r="A25" s="85">
        <v>32</v>
      </c>
      <c r="B25" s="95" t="s">
        <v>11</v>
      </c>
      <c r="C25" s="108">
        <v>5506</v>
      </c>
      <c r="D25" s="109">
        <f t="shared" si="0"/>
        <v>9.5186363697656574E-4</v>
      </c>
      <c r="E25" s="92">
        <v>5391</v>
      </c>
      <c r="F25" s="109">
        <f t="shared" si="1"/>
        <v>8.5460208214737678E-4</v>
      </c>
      <c r="G25" s="110">
        <f>+'COEF Art 14 F I'!AD24</f>
        <v>3.4030494551198277E-3</v>
      </c>
      <c r="H25" s="92">
        <f t="shared" si="2"/>
        <v>48172.548357767264</v>
      </c>
      <c r="I25" s="92">
        <f t="shared" si="3"/>
        <v>43250.270868270003</v>
      </c>
      <c r="J25" s="92">
        <f t="shared" si="4"/>
        <v>147620.39261482641</v>
      </c>
      <c r="K25" s="92">
        <f t="shared" si="5"/>
        <v>239043.21184086369</v>
      </c>
      <c r="L25" s="116">
        <f t="shared" si="6"/>
        <v>1.65318E-3</v>
      </c>
    </row>
    <row r="26" spans="1:12">
      <c r="A26" s="85">
        <v>33</v>
      </c>
      <c r="B26" s="95" t="s">
        <v>12</v>
      </c>
      <c r="C26" s="108">
        <v>481213</v>
      </c>
      <c r="D26" s="109">
        <f t="shared" si="0"/>
        <v>8.3190911067999293E-2</v>
      </c>
      <c r="E26" s="92">
        <v>534502</v>
      </c>
      <c r="F26" s="109">
        <f t="shared" si="1"/>
        <v>8.4731315546640179E-2</v>
      </c>
      <c r="G26" s="110">
        <f>+'COEF Art 14 F I'!AD25</f>
        <v>6.8901274578641467E-2</v>
      </c>
      <c r="H26" s="92">
        <f t="shared" si="2"/>
        <v>4210180.9867210779</v>
      </c>
      <c r="I26" s="92">
        <f t="shared" si="3"/>
        <v>4288138.8016382959</v>
      </c>
      <c r="J26" s="92">
        <f t="shared" si="4"/>
        <v>2988858.4750534766</v>
      </c>
      <c r="K26" s="92">
        <f t="shared" si="5"/>
        <v>11487178.26341285</v>
      </c>
      <c r="L26" s="116">
        <f t="shared" si="6"/>
        <v>7.9443159999999999E-2</v>
      </c>
    </row>
    <row r="27" spans="1:12">
      <c r="A27" s="85">
        <v>34</v>
      </c>
      <c r="B27" s="95" t="s">
        <v>123</v>
      </c>
      <c r="C27" s="108">
        <v>14109</v>
      </c>
      <c r="D27" s="109">
        <f t="shared" si="0"/>
        <v>2.4391289600621804E-3</v>
      </c>
      <c r="E27" s="92">
        <v>12884</v>
      </c>
      <c r="F27" s="109">
        <f t="shared" si="1"/>
        <v>2.0424212996451125E-3</v>
      </c>
      <c r="G27" s="110">
        <f>+'COEF Art 14 F I'!AD26</f>
        <v>4.3463329344844183E-3</v>
      </c>
      <c r="H27" s="92">
        <f t="shared" si="2"/>
        <v>123441.06152919329</v>
      </c>
      <c r="I27" s="92">
        <f t="shared" si="3"/>
        <v>103364.2162616937</v>
      </c>
      <c r="J27" s="92">
        <f t="shared" si="4"/>
        <v>188538.95092769031</v>
      </c>
      <c r="K27" s="92">
        <f t="shared" si="5"/>
        <v>415344.2287185773</v>
      </c>
      <c r="L27" s="116">
        <f t="shared" si="6"/>
        <v>2.87244E-3</v>
      </c>
    </row>
    <row r="28" spans="1:12">
      <c r="A28" s="85">
        <v>35</v>
      </c>
      <c r="B28" s="95" t="s">
        <v>13</v>
      </c>
      <c r="C28" s="108">
        <v>1808</v>
      </c>
      <c r="D28" s="109">
        <f t="shared" si="0"/>
        <v>3.1256256005332924E-4</v>
      </c>
      <c r="E28" s="92">
        <v>2795</v>
      </c>
      <c r="F28" s="109">
        <f t="shared" si="1"/>
        <v>4.4307416427414545E-4</v>
      </c>
      <c r="G28" s="110">
        <f>+'COEF Art 14 F I'!AD27</f>
        <v>8.795254875135324E-4</v>
      </c>
      <c r="H28" s="92">
        <f t="shared" si="2"/>
        <v>15818.374033934473</v>
      </c>
      <c r="I28" s="92">
        <f t="shared" si="3"/>
        <v>22423.392149288567</v>
      </c>
      <c r="J28" s="92">
        <f t="shared" si="4"/>
        <v>38152.809559131871</v>
      </c>
      <c r="K28" s="92">
        <f t="shared" si="5"/>
        <v>76394.575742354908</v>
      </c>
      <c r="L28" s="116">
        <f t="shared" si="6"/>
        <v>5.2833000000000003E-4</v>
      </c>
    </row>
    <row r="29" spans="1:12">
      <c r="A29" s="85">
        <v>61</v>
      </c>
      <c r="B29" s="95" t="s">
        <v>14</v>
      </c>
      <c r="C29" s="108">
        <v>6282</v>
      </c>
      <c r="D29" s="109">
        <f t="shared" si="0"/>
        <v>1.0860165941675964E-3</v>
      </c>
      <c r="E29" s="92">
        <v>6040</v>
      </c>
      <c r="F29" s="109">
        <f t="shared" si="1"/>
        <v>9.5748406161568465E-4</v>
      </c>
      <c r="G29" s="110">
        <f>+'COEF Art 14 F I'!AD28</f>
        <v>2.5119152421003046E-3</v>
      </c>
      <c r="H29" s="92">
        <f t="shared" si="2"/>
        <v>54961.850487376301</v>
      </c>
      <c r="I29" s="92">
        <f t="shared" si="3"/>
        <v>48456.990548015368</v>
      </c>
      <c r="J29" s="92">
        <f t="shared" si="4"/>
        <v>108964.00982246578</v>
      </c>
      <c r="K29" s="92">
        <f t="shared" si="5"/>
        <v>212382.85085785744</v>
      </c>
      <c r="L29" s="116">
        <f t="shared" si="6"/>
        <v>1.4687999999999999E-3</v>
      </c>
    </row>
    <row r="30" spans="1:12">
      <c r="A30" s="85">
        <v>36</v>
      </c>
      <c r="B30" s="95" t="s">
        <v>15</v>
      </c>
      <c r="C30" s="108">
        <v>102149</v>
      </c>
      <c r="D30" s="109">
        <f t="shared" si="0"/>
        <v>1.7659266010446643E-2</v>
      </c>
      <c r="E30" s="92">
        <v>129221</v>
      </c>
      <c r="F30" s="109">
        <f t="shared" si="1"/>
        <v>2.048461058378152E-2</v>
      </c>
      <c r="G30" s="110">
        <f>+'COEF Art 14 F I'!AD29</f>
        <v>9.6581078146986982E-3</v>
      </c>
      <c r="H30" s="92">
        <f t="shared" si="2"/>
        <v>893711.88561525033</v>
      </c>
      <c r="I30" s="92">
        <f t="shared" si="3"/>
        <v>1036698.8039081281</v>
      </c>
      <c r="J30" s="92">
        <f t="shared" si="4"/>
        <v>418957.66909210029</v>
      </c>
      <c r="K30" s="92">
        <f t="shared" si="5"/>
        <v>2349368.3586154785</v>
      </c>
      <c r="L30" s="116">
        <f t="shared" si="6"/>
        <v>1.6247790000000002E-2</v>
      </c>
    </row>
    <row r="31" spans="1:12">
      <c r="A31" s="85">
        <v>28</v>
      </c>
      <c r="B31" s="95" t="s">
        <v>16</v>
      </c>
      <c r="C31" s="108">
        <v>643143</v>
      </c>
      <c r="D31" s="109">
        <f t="shared" si="0"/>
        <v>0.11118496823029775</v>
      </c>
      <c r="E31" s="92">
        <v>661895</v>
      </c>
      <c r="F31" s="109">
        <f t="shared" si="1"/>
        <v>0.10492614453031682</v>
      </c>
      <c r="G31" s="110">
        <f>+'COEF Art 14 F I'!AD30</f>
        <v>7.124531536178054E-2</v>
      </c>
      <c r="H31" s="92">
        <f t="shared" si="2"/>
        <v>5626922.860236017</v>
      </c>
      <c r="I31" s="92">
        <f t="shared" si="3"/>
        <v>5310172.1454931507</v>
      </c>
      <c r="J31" s="92">
        <f t="shared" si="4"/>
        <v>3090540.2828777977</v>
      </c>
      <c r="K31" s="92">
        <f t="shared" si="5"/>
        <v>14027635.288606966</v>
      </c>
      <c r="L31" s="116">
        <f t="shared" si="6"/>
        <v>9.7012479999999998E-2</v>
      </c>
    </row>
    <row r="32" spans="1:12">
      <c r="A32" s="85">
        <v>37</v>
      </c>
      <c r="B32" s="95" t="s">
        <v>124</v>
      </c>
      <c r="C32" s="108">
        <v>1959</v>
      </c>
      <c r="D32" s="109">
        <f t="shared" si="0"/>
        <v>3.3866706589849116E-4</v>
      </c>
      <c r="E32" s="92">
        <v>2099</v>
      </c>
      <c r="F32" s="109">
        <f t="shared" si="1"/>
        <v>3.3274156379657649E-4</v>
      </c>
      <c r="G32" s="110">
        <f>+'COEF Art 14 F I'!AD31</f>
        <v>9.1102745207807183E-4</v>
      </c>
      <c r="H32" s="92">
        <f t="shared" si="2"/>
        <v>17139.488236989841</v>
      </c>
      <c r="I32" s="92">
        <f t="shared" si="3"/>
        <v>16839.60648349077</v>
      </c>
      <c r="J32" s="92">
        <f t="shared" si="4"/>
        <v>39519.328746844323</v>
      </c>
      <c r="K32" s="92">
        <f t="shared" si="5"/>
        <v>73498.42346732493</v>
      </c>
      <c r="L32" s="116">
        <f t="shared" si="6"/>
        <v>5.0830000000000005E-4</v>
      </c>
    </row>
    <row r="33" spans="1:12">
      <c r="A33" s="85">
        <v>39</v>
      </c>
      <c r="B33" s="95" t="s">
        <v>17</v>
      </c>
      <c r="C33" s="108">
        <v>16086</v>
      </c>
      <c r="D33" s="109">
        <f t="shared" si="0"/>
        <v>2.7809078213594327E-3</v>
      </c>
      <c r="E33" s="92">
        <v>17919</v>
      </c>
      <c r="F33" s="109">
        <f t="shared" si="1"/>
        <v>2.840588890743618E-3</v>
      </c>
      <c r="G33" s="110">
        <f>+'COEF Art 14 F I'!AD32</f>
        <v>1.7264673397150382E-3</v>
      </c>
      <c r="H33" s="92">
        <f t="shared" si="2"/>
        <v>140738.03357846788</v>
      </c>
      <c r="I33" s="92">
        <f t="shared" si="3"/>
        <v>143758.41285263034</v>
      </c>
      <c r="J33" s="92">
        <f t="shared" si="4"/>
        <v>74892.17829084846</v>
      </c>
      <c r="K33" s="92">
        <f t="shared" si="5"/>
        <v>359388.62472194666</v>
      </c>
      <c r="L33" s="116">
        <f t="shared" si="6"/>
        <v>2.4854600000000001E-3</v>
      </c>
    </row>
    <row r="34" spans="1:12">
      <c r="A34" s="85">
        <v>38</v>
      </c>
      <c r="B34" s="95" t="s">
        <v>18</v>
      </c>
      <c r="C34" s="108">
        <v>1386</v>
      </c>
      <c r="D34" s="109">
        <f t="shared" si="0"/>
        <v>2.3960824570459864E-4</v>
      </c>
      <c r="E34" s="92">
        <v>1401</v>
      </c>
      <c r="F34" s="109">
        <f t="shared" si="1"/>
        <v>2.2209191561648579E-4</v>
      </c>
      <c r="G34" s="110">
        <f>+'COEF Art 14 F I'!AD33</f>
        <v>1.2675534668939146E-3</v>
      </c>
      <c r="H34" s="92">
        <f t="shared" si="2"/>
        <v>12126.25354592543</v>
      </c>
      <c r="I34" s="92">
        <f t="shared" si="3"/>
        <v>11239.775456584359</v>
      </c>
      <c r="J34" s="92">
        <f t="shared" si="4"/>
        <v>54985.019439447242</v>
      </c>
      <c r="K34" s="92">
        <f t="shared" si="5"/>
        <v>78351.048441957028</v>
      </c>
      <c r="L34" s="116">
        <f t="shared" si="6"/>
        <v>5.4186000000000002E-4</v>
      </c>
    </row>
    <row r="35" spans="1:12">
      <c r="A35" s="85">
        <v>40</v>
      </c>
      <c r="B35" s="95" t="s">
        <v>19</v>
      </c>
      <c r="C35" s="108">
        <v>7026</v>
      </c>
      <c r="D35" s="109">
        <f t="shared" si="0"/>
        <v>1.2146374706497186E-3</v>
      </c>
      <c r="E35" s="92">
        <v>6689</v>
      </c>
      <c r="F35" s="109">
        <f t="shared" si="1"/>
        <v>1.0603660410839924E-3</v>
      </c>
      <c r="G35" s="110">
        <f>+'COEF Art 14 F I'!AD34</f>
        <v>1.5215232667931706E-3</v>
      </c>
      <c r="H35" s="92">
        <f t="shared" si="2"/>
        <v>61471.181395145795</v>
      </c>
      <c r="I35" s="92">
        <f t="shared" si="3"/>
        <v>53663.710227760719</v>
      </c>
      <c r="J35" s="92">
        <f t="shared" si="4"/>
        <v>66001.938843022857</v>
      </c>
      <c r="K35" s="92">
        <f t="shared" si="5"/>
        <v>181136.83046592938</v>
      </c>
      <c r="L35" s="116">
        <f t="shared" si="6"/>
        <v>1.25271E-3</v>
      </c>
    </row>
    <row r="36" spans="1:12">
      <c r="A36" s="85">
        <v>41</v>
      </c>
      <c r="B36" s="95" t="s">
        <v>20</v>
      </c>
      <c r="C36" s="108">
        <v>3298</v>
      </c>
      <c r="D36" s="109">
        <f t="shared" si="0"/>
        <v>5.7015006806188052E-4</v>
      </c>
      <c r="E36" s="92">
        <v>3112</v>
      </c>
      <c r="F36" s="109">
        <f t="shared" si="1"/>
        <v>4.9332622512384284E-4</v>
      </c>
      <c r="G36" s="110">
        <f>+'COEF Art 14 F I'!AD35</f>
        <v>1.5932734543204292E-3</v>
      </c>
      <c r="H36" s="92">
        <f t="shared" si="2"/>
        <v>28854.53405083844</v>
      </c>
      <c r="I36" s="92">
        <f t="shared" si="3"/>
        <v>24966.581885003943</v>
      </c>
      <c r="J36" s="92">
        <f t="shared" si="4"/>
        <v>69114.379902915825</v>
      </c>
      <c r="K36" s="92">
        <f t="shared" si="5"/>
        <v>122935.49583875822</v>
      </c>
      <c r="L36" s="116">
        <f t="shared" si="6"/>
        <v>8.5019999999999996E-4</v>
      </c>
    </row>
    <row r="37" spans="1:12">
      <c r="A37" s="85">
        <v>42</v>
      </c>
      <c r="B37" s="95" t="s">
        <v>125</v>
      </c>
      <c r="C37" s="108">
        <v>471523</v>
      </c>
      <c r="D37" s="109">
        <f t="shared" si="0"/>
        <v>8.1515727878332944E-2</v>
      </c>
      <c r="E37" s="92">
        <v>545086</v>
      </c>
      <c r="F37" s="109">
        <f t="shared" si="1"/>
        <v>8.6409131988385277E-2</v>
      </c>
      <c r="G37" s="110">
        <f>+'COEF Art 14 F I'!AD36</f>
        <v>4.8538523107132636E-2</v>
      </c>
      <c r="H37" s="92">
        <f t="shared" si="2"/>
        <v>4125402.2011077898</v>
      </c>
      <c r="I37" s="92">
        <f t="shared" si="3"/>
        <v>4373050.8526250832</v>
      </c>
      <c r="J37" s="92">
        <f t="shared" si="4"/>
        <v>2105545.6091708317</v>
      </c>
      <c r="K37" s="92">
        <f t="shared" si="5"/>
        <v>10603998.662903704</v>
      </c>
      <c r="L37" s="116">
        <f t="shared" si="6"/>
        <v>7.3335259999999999E-2</v>
      </c>
    </row>
    <row r="38" spans="1:12">
      <c r="A38" s="85">
        <v>43</v>
      </c>
      <c r="B38" s="95" t="s">
        <v>21</v>
      </c>
      <c r="C38" s="108">
        <v>5351</v>
      </c>
      <c r="D38" s="109">
        <f t="shared" si="0"/>
        <v>9.2506762104279034E-4</v>
      </c>
      <c r="E38" s="92">
        <v>5161</v>
      </c>
      <c r="F38" s="109">
        <f t="shared" si="1"/>
        <v>8.1814159635737558E-4</v>
      </c>
      <c r="G38" s="110">
        <f>+'COEF Art 14 F I'!AD37</f>
        <v>4.6411528313314741E-3</v>
      </c>
      <c r="H38" s="92">
        <f t="shared" si="2"/>
        <v>46816.437751981954</v>
      </c>
      <c r="I38" s="92">
        <f t="shared" si="3"/>
        <v>41405.054340779352</v>
      </c>
      <c r="J38" s="92">
        <f t="shared" si="4"/>
        <v>201327.9008084356</v>
      </c>
      <c r="K38" s="92">
        <f t="shared" si="5"/>
        <v>289549.3929011969</v>
      </c>
      <c r="L38" s="116">
        <f t="shared" si="6"/>
        <v>2.0024700000000001E-3</v>
      </c>
    </row>
    <row r="39" spans="1:12">
      <c r="A39" s="85">
        <v>44</v>
      </c>
      <c r="B39" s="95" t="s">
        <v>22</v>
      </c>
      <c r="C39" s="108">
        <v>84666</v>
      </c>
      <c r="D39" s="109">
        <f t="shared" si="0"/>
        <v>1.4636848290638924E-2</v>
      </c>
      <c r="E39" s="92">
        <v>83408</v>
      </c>
      <c r="F39" s="109">
        <f t="shared" si="1"/>
        <v>1.3222157385967057E-2</v>
      </c>
      <c r="G39" s="110">
        <f>+'COEF Art 14 F I'!AD38</f>
        <v>1.0396510653508126E-2</v>
      </c>
      <c r="H39" s="92">
        <f t="shared" ref="H39:H57" si="7">+D39*H$5</f>
        <v>740751.35838334961</v>
      </c>
      <c r="I39" s="92">
        <f t="shared" ref="I39:I57" si="8">+F39*I$5</f>
        <v>669155.73967365327</v>
      </c>
      <c r="J39" s="92">
        <f t="shared" ref="J39:J57" si="9">+G39*J$5</f>
        <v>450988.73958064592</v>
      </c>
      <c r="K39" s="92">
        <f t="shared" si="5"/>
        <v>1860895.8376376487</v>
      </c>
      <c r="L39" s="116">
        <f t="shared" si="6"/>
        <v>1.286961E-2</v>
      </c>
    </row>
    <row r="40" spans="1:12">
      <c r="A40" s="85">
        <v>46</v>
      </c>
      <c r="B40" s="95" t="s">
        <v>126</v>
      </c>
      <c r="C40" s="108">
        <v>5119</v>
      </c>
      <c r="D40" s="109">
        <f t="shared" si="0"/>
        <v>8.8496003590320376E-4</v>
      </c>
      <c r="E40" s="92">
        <v>4917</v>
      </c>
      <c r="F40" s="109">
        <f t="shared" si="1"/>
        <v>7.7946177664972203E-4</v>
      </c>
      <c r="G40" s="110">
        <f>+'COEF Art 14 F I'!AD39</f>
        <v>2.0259697850277861E-3</v>
      </c>
      <c r="H40" s="92">
        <f t="shared" si="7"/>
        <v>44786.646393645227</v>
      </c>
      <c r="I40" s="92">
        <f t="shared" si="8"/>
        <v>39447.520285528401</v>
      </c>
      <c r="J40" s="92">
        <f t="shared" si="9"/>
        <v>87884.251767668276</v>
      </c>
      <c r="K40" s="92">
        <f t="shared" si="5"/>
        <v>172118.41844684188</v>
      </c>
      <c r="L40" s="116">
        <f t="shared" si="6"/>
        <v>1.19034E-3</v>
      </c>
    </row>
    <row r="41" spans="1:12">
      <c r="A41" s="85">
        <v>49</v>
      </c>
      <c r="B41" s="95" t="s">
        <v>23</v>
      </c>
      <c r="C41" s="108">
        <v>1483</v>
      </c>
      <c r="D41" s="109">
        <f t="shared" si="0"/>
        <v>2.5637736535347747E-4</v>
      </c>
      <c r="E41" s="92">
        <v>1817</v>
      </c>
      <c r="F41" s="109">
        <f t="shared" si="1"/>
        <v>2.8803783774100975E-4</v>
      </c>
      <c r="G41" s="110">
        <f>+'COEF Art 14 F I'!AD40</f>
        <v>3.5094546999047397E-4</v>
      </c>
      <c r="H41" s="92">
        <f t="shared" si="7"/>
        <v>12974.916312126561</v>
      </c>
      <c r="I41" s="92">
        <f t="shared" si="8"/>
        <v>14577.210567176146</v>
      </c>
      <c r="J41" s="92">
        <f t="shared" si="9"/>
        <v>15223.613041663639</v>
      </c>
      <c r="K41" s="92">
        <f t="shared" si="5"/>
        <v>42775.739920966342</v>
      </c>
      <c r="L41" s="116">
        <f t="shared" si="6"/>
        <v>2.9583000000000002E-4</v>
      </c>
    </row>
    <row r="42" spans="1:12">
      <c r="A42" s="85">
        <v>48</v>
      </c>
      <c r="B42" s="95" t="s">
        <v>24</v>
      </c>
      <c r="C42" s="108">
        <v>7652</v>
      </c>
      <c r="D42" s="109">
        <f t="shared" si="0"/>
        <v>1.322858799517741E-3</v>
      </c>
      <c r="E42" s="92">
        <v>8084</v>
      </c>
      <c r="F42" s="109">
        <f t="shared" si="1"/>
        <v>1.2815068135929131E-3</v>
      </c>
      <c r="G42" s="110">
        <f>+'COEF Art 14 F I'!AD41</f>
        <v>2.7551583987335732E-3</v>
      </c>
      <c r="H42" s="92">
        <f t="shared" si="7"/>
        <v>66948.118422381973</v>
      </c>
      <c r="I42" s="92">
        <f t="shared" si="8"/>
        <v>64855.349601019247</v>
      </c>
      <c r="J42" s="92">
        <f t="shared" si="9"/>
        <v>119515.61971137011</v>
      </c>
      <c r="K42" s="92">
        <f t="shared" si="5"/>
        <v>251319.08773477131</v>
      </c>
      <c r="L42" s="116">
        <f t="shared" si="6"/>
        <v>1.7380799999999999E-3</v>
      </c>
    </row>
    <row r="43" spans="1:12">
      <c r="A43" s="85">
        <v>47</v>
      </c>
      <c r="B43" s="95" t="s">
        <v>25</v>
      </c>
      <c r="C43" s="108">
        <v>6048</v>
      </c>
      <c r="D43" s="109">
        <f t="shared" si="0"/>
        <v>1.0455632539837032E-3</v>
      </c>
      <c r="E43" s="92">
        <v>6599</v>
      </c>
      <c r="F43" s="109">
        <f t="shared" si="1"/>
        <v>1.0460988944705138E-3</v>
      </c>
      <c r="G43" s="110">
        <f>+'COEF Art 14 F I'!AD42</f>
        <v>3.6031949368920896E-3</v>
      </c>
      <c r="H43" s="92">
        <f t="shared" si="7"/>
        <v>52914.560927674611</v>
      </c>
      <c r="I43" s="92">
        <f t="shared" si="8"/>
        <v>52941.66897787308</v>
      </c>
      <c r="J43" s="92">
        <f t="shared" si="9"/>
        <v>156302.47466769055</v>
      </c>
      <c r="K43" s="92">
        <f t="shared" si="5"/>
        <v>262158.70457323827</v>
      </c>
      <c r="L43" s="116">
        <f t="shared" si="6"/>
        <v>1.8130399999999999E-3</v>
      </c>
    </row>
    <row r="44" spans="1:12">
      <c r="A44" s="85">
        <v>45</v>
      </c>
      <c r="B44" s="95" t="s">
        <v>26</v>
      </c>
      <c r="C44" s="108">
        <v>67428</v>
      </c>
      <c r="D44" s="109">
        <f t="shared" si="0"/>
        <v>1.1656785563758786E-2</v>
      </c>
      <c r="E44" s="92">
        <v>72063</v>
      </c>
      <c r="F44" s="109">
        <f t="shared" si="1"/>
        <v>1.142370429341243E-2</v>
      </c>
      <c r="G44" s="110">
        <f>+'COEF Art 14 F I'!AD43</f>
        <v>8.8188614820201572E-3</v>
      </c>
      <c r="H44" s="92">
        <f t="shared" si="7"/>
        <v>589934.36081865802</v>
      </c>
      <c r="I44" s="92">
        <f t="shared" si="8"/>
        <v>578138.42878503818</v>
      </c>
      <c r="J44" s="92">
        <f t="shared" si="9"/>
        <v>382552.12319438515</v>
      </c>
      <c r="K44" s="92">
        <f t="shared" si="5"/>
        <v>1550624.9127980813</v>
      </c>
      <c r="L44" s="116">
        <f t="shared" si="6"/>
        <v>1.072383E-2</v>
      </c>
    </row>
    <row r="45" spans="1:12">
      <c r="A45" s="85">
        <v>70</v>
      </c>
      <c r="B45" s="95" t="s">
        <v>27</v>
      </c>
      <c r="C45" s="108">
        <v>1142994</v>
      </c>
      <c r="D45" s="109">
        <f t="shared" si="0"/>
        <v>0.19759797055619194</v>
      </c>
      <c r="E45" s="92">
        <v>1168978</v>
      </c>
      <c r="F45" s="109">
        <f t="shared" si="1"/>
        <v>0.18531089459923505</v>
      </c>
      <c r="G45" s="110">
        <f>+'COEF Art 14 F I'!AD44</f>
        <v>0.24283238370054089</v>
      </c>
      <c r="H45" s="92">
        <f t="shared" si="7"/>
        <v>10000169.585477266</v>
      </c>
      <c r="I45" s="92">
        <f t="shared" si="8"/>
        <v>9378337.0690128971</v>
      </c>
      <c r="J45" s="92">
        <f t="shared" si="9"/>
        <v>10533791.028965749</v>
      </c>
      <c r="K45" s="92">
        <f t="shared" si="5"/>
        <v>29912297.683455914</v>
      </c>
      <c r="L45" s="116">
        <f t="shared" si="6"/>
        <v>0.20686782000000001</v>
      </c>
    </row>
    <row r="46" spans="1:12">
      <c r="A46" s="85">
        <v>50</v>
      </c>
      <c r="B46" s="95" t="s">
        <v>127</v>
      </c>
      <c r="C46" s="108">
        <v>906</v>
      </c>
      <c r="D46" s="109">
        <f t="shared" si="0"/>
        <v>1.5662703507097141E-4</v>
      </c>
      <c r="E46" s="92">
        <v>835</v>
      </c>
      <c r="F46" s="109">
        <f t="shared" si="1"/>
        <v>1.3236741580283058E-4</v>
      </c>
      <c r="G46" s="110">
        <f>+'COEF Art 14 F I'!AD45</f>
        <v>1.8294253827262964E-3</v>
      </c>
      <c r="H46" s="92">
        <f t="shared" si="7"/>
        <v>7926.6852183322089</v>
      </c>
      <c r="I46" s="92">
        <f t="shared" si="8"/>
        <v>6698.9382628464955</v>
      </c>
      <c r="J46" s="92">
        <f t="shared" si="9"/>
        <v>79358.380422971444</v>
      </c>
      <c r="K46" s="92">
        <f t="shared" si="5"/>
        <v>93984.003904150144</v>
      </c>
      <c r="L46" s="116">
        <f t="shared" si="6"/>
        <v>6.4997999999999998E-4</v>
      </c>
    </row>
    <row r="47" spans="1:12">
      <c r="A47" s="85">
        <v>51</v>
      </c>
      <c r="B47" s="95" t="s">
        <v>128</v>
      </c>
      <c r="C47" s="108">
        <v>147624</v>
      </c>
      <c r="D47" s="109">
        <f t="shared" si="0"/>
        <v>2.5520871330372057E-2</v>
      </c>
      <c r="E47" s="92">
        <v>192100</v>
      </c>
      <c r="F47" s="109">
        <f t="shared" si="1"/>
        <v>3.0452431827214074E-2</v>
      </c>
      <c r="G47" s="110">
        <f>+'COEF Art 14 F I'!AD46</f>
        <v>1.45963136802057E-2</v>
      </c>
      <c r="H47" s="92">
        <f t="shared" si="7"/>
        <v>1291577.2391512957</v>
      </c>
      <c r="I47" s="92">
        <f t="shared" si="8"/>
        <v>1541156.9344824092</v>
      </c>
      <c r="J47" s="92">
        <f t="shared" si="9"/>
        <v>633171.39072410448</v>
      </c>
      <c r="K47" s="92">
        <f t="shared" si="5"/>
        <v>3465905.5643578093</v>
      </c>
      <c r="L47" s="116">
        <f t="shared" si="6"/>
        <v>2.3969549999999999E-2</v>
      </c>
    </row>
    <row r="48" spans="1:12">
      <c r="A48" s="85">
        <v>52</v>
      </c>
      <c r="B48" s="95" t="s">
        <v>129</v>
      </c>
      <c r="C48" s="108">
        <v>5389</v>
      </c>
      <c r="D48" s="109">
        <f t="shared" si="0"/>
        <v>9.3163696688461914E-4</v>
      </c>
      <c r="E48" s="92">
        <v>6193</v>
      </c>
      <c r="F48" s="109">
        <f t="shared" si="1"/>
        <v>9.8173821085859839E-4</v>
      </c>
      <c r="G48" s="110">
        <f>+'COEF Art 14 F I'!AD47</f>
        <v>2.0946995653942867E-3</v>
      </c>
      <c r="H48" s="92">
        <f t="shared" si="7"/>
        <v>47148.903577916411</v>
      </c>
      <c r="I48" s="92">
        <f t="shared" si="8"/>
        <v>49684.46067282436</v>
      </c>
      <c r="J48" s="92">
        <f t="shared" si="9"/>
        <v>90865.671019971312</v>
      </c>
      <c r="K48" s="92">
        <f t="shared" si="5"/>
        <v>187699.03527071208</v>
      </c>
      <c r="L48" s="116">
        <f t="shared" si="6"/>
        <v>1.29809E-3</v>
      </c>
    </row>
    <row r="49" spans="1:12">
      <c r="A49" s="85">
        <v>53</v>
      </c>
      <c r="B49" s="95" t="s">
        <v>28</v>
      </c>
      <c r="C49" s="108">
        <v>2377</v>
      </c>
      <c r="D49" s="109">
        <f t="shared" si="0"/>
        <v>4.1092987015860824E-4</v>
      </c>
      <c r="E49" s="92">
        <v>2187</v>
      </c>
      <c r="F49" s="109">
        <f t="shared" si="1"/>
        <v>3.4669166270753348E-4</v>
      </c>
      <c r="G49" s="110">
        <f>+'COEF Art 14 F I'!AD48</f>
        <v>1.8605362725808816E-3</v>
      </c>
      <c r="H49" s="92">
        <f t="shared" si="7"/>
        <v>20796.612322268942</v>
      </c>
      <c r="I49" s="92">
        <f t="shared" si="8"/>
        <v>17545.602372269801</v>
      </c>
      <c r="J49" s="92">
        <f t="shared" si="9"/>
        <v>80707.935237116442</v>
      </c>
      <c r="K49" s="92">
        <f t="shared" si="5"/>
        <v>119050.14993165518</v>
      </c>
      <c r="L49" s="116">
        <f t="shared" si="6"/>
        <v>8.2333000000000005E-4</v>
      </c>
    </row>
    <row r="50" spans="1:12">
      <c r="A50" s="85">
        <v>54</v>
      </c>
      <c r="B50" s="95" t="s">
        <v>29</v>
      </c>
      <c r="C50" s="108">
        <v>34709</v>
      </c>
      <c r="D50" s="109">
        <f t="shared" si="0"/>
        <v>6.0004059164220159E-3</v>
      </c>
      <c r="E50" s="92">
        <v>33932</v>
      </c>
      <c r="F50" s="109">
        <f t="shared" si="1"/>
        <v>5.3790313209840079E-3</v>
      </c>
      <c r="G50" s="110">
        <f>+'COEF Art 14 F I'!AD49</f>
        <v>4.9787719799991173E-3</v>
      </c>
      <c r="H50" s="92">
        <f t="shared" si="7"/>
        <v>303672.53558840242</v>
      </c>
      <c r="I50" s="92">
        <f t="shared" si="8"/>
        <v>272225.59656875121</v>
      </c>
      <c r="J50" s="92">
        <f t="shared" si="9"/>
        <v>215973.43327509379</v>
      </c>
      <c r="K50" s="92">
        <f t="shared" si="5"/>
        <v>791871.56543224747</v>
      </c>
      <c r="L50" s="116">
        <f t="shared" si="6"/>
        <v>5.47643E-3</v>
      </c>
    </row>
    <row r="51" spans="1:12">
      <c r="A51" s="85">
        <v>55</v>
      </c>
      <c r="B51" s="95" t="s">
        <v>30</v>
      </c>
      <c r="C51" s="108">
        <v>86766</v>
      </c>
      <c r="D51" s="109">
        <f t="shared" si="0"/>
        <v>1.4999891087161044E-2</v>
      </c>
      <c r="E51" s="92">
        <v>110081</v>
      </c>
      <c r="F51" s="109">
        <f t="shared" si="1"/>
        <v>1.7450464070648375E-2</v>
      </c>
      <c r="G51" s="110">
        <f>+'COEF Art 14 F I'!AD50</f>
        <v>1.2063940704491301E-2</v>
      </c>
      <c r="H51" s="92">
        <f t="shared" si="7"/>
        <v>759124.46981656994</v>
      </c>
      <c r="I51" s="92">
        <f t="shared" si="8"/>
        <v>883144.69809868874</v>
      </c>
      <c r="J51" s="92">
        <f t="shared" si="9"/>
        <v>523319.94781906076</v>
      </c>
      <c r="K51" s="92">
        <f t="shared" si="5"/>
        <v>2165589.1157343192</v>
      </c>
      <c r="L51" s="116">
        <f t="shared" si="6"/>
        <v>1.497681E-2</v>
      </c>
    </row>
    <row r="52" spans="1:12">
      <c r="A52" s="85">
        <v>58</v>
      </c>
      <c r="B52" s="95" t="s">
        <v>130</v>
      </c>
      <c r="C52" s="108">
        <v>412199</v>
      </c>
      <c r="D52" s="109">
        <f t="shared" si="0"/>
        <v>7.125994175410523E-2</v>
      </c>
      <c r="E52" s="92">
        <v>422404</v>
      </c>
      <c r="F52" s="109">
        <f t="shared" si="1"/>
        <v>6.6961108867998609E-2</v>
      </c>
      <c r="G52" s="110">
        <f>+'COEF Art 14 F I'!AD51</f>
        <v>6.9730816162233297E-2</v>
      </c>
      <c r="H52" s="92">
        <f t="shared" si="7"/>
        <v>3606370.5522199976</v>
      </c>
      <c r="I52" s="92">
        <f t="shared" si="8"/>
        <v>3388812.3568615695</v>
      </c>
      <c r="J52" s="92">
        <f t="shared" si="9"/>
        <v>3024843.0400370727</v>
      </c>
      <c r="K52" s="92">
        <f t="shared" si="5"/>
        <v>10020025.94911864</v>
      </c>
      <c r="L52" s="116">
        <f t="shared" si="6"/>
        <v>6.9296609999999995E-2</v>
      </c>
    </row>
    <row r="53" spans="1:12">
      <c r="A53" s="85">
        <v>31</v>
      </c>
      <c r="B53" s="95" t="s">
        <v>131</v>
      </c>
      <c r="C53" s="108">
        <v>132169</v>
      </c>
      <c r="D53" s="109">
        <f t="shared" si="0"/>
        <v>2.2849049225491413E-2</v>
      </c>
      <c r="E53" s="92">
        <v>126240</v>
      </c>
      <c r="F53" s="109">
        <f t="shared" si="1"/>
        <v>2.0012050983172852E-2</v>
      </c>
      <c r="G53" s="110">
        <f>+'COEF Art 14 F I'!AD52</f>
        <v>0.13670933946968192</v>
      </c>
      <c r="H53" s="92">
        <f t="shared" si="7"/>
        <v>1156359.8881034765</v>
      </c>
      <c r="I53" s="92">
        <f t="shared" si="8"/>
        <v>1012783.1931757383</v>
      </c>
      <c r="J53" s="92">
        <f t="shared" si="9"/>
        <v>5930294.7643813826</v>
      </c>
      <c r="K53" s="92">
        <f t="shared" si="5"/>
        <v>8099437.8456605971</v>
      </c>
      <c r="L53" s="116">
        <f t="shared" si="6"/>
        <v>5.6014189999999998E-2</v>
      </c>
    </row>
    <row r="54" spans="1:12">
      <c r="A54" s="85">
        <v>57</v>
      </c>
      <c r="B54" s="95" t="s">
        <v>31</v>
      </c>
      <c r="C54" s="108">
        <v>306322</v>
      </c>
      <c r="D54" s="109">
        <f t="shared" si="0"/>
        <v>5.2956188341070756E-2</v>
      </c>
      <c r="E54" s="92">
        <v>337111</v>
      </c>
      <c r="F54" s="109">
        <f t="shared" si="1"/>
        <v>5.3440134022404807E-2</v>
      </c>
      <c r="G54" s="110">
        <f>+'COEF Art 14 F I'!AD53</f>
        <v>3.5241061496137725E-2</v>
      </c>
      <c r="H54" s="92">
        <f t="shared" si="7"/>
        <v>2680042.01926044</v>
      </c>
      <c r="I54" s="92">
        <f t="shared" si="8"/>
        <v>2704533.8643430476</v>
      </c>
      <c r="J54" s="92">
        <f t="shared" si="9"/>
        <v>1528716.9354522091</v>
      </c>
      <c r="K54" s="92">
        <f t="shared" si="5"/>
        <v>6913292.819055696</v>
      </c>
      <c r="L54" s="116">
        <f t="shared" si="6"/>
        <v>4.7811029999999997E-2</v>
      </c>
    </row>
    <row r="55" spans="1:12">
      <c r="A55" s="85">
        <v>56</v>
      </c>
      <c r="B55" s="95" t="s">
        <v>32</v>
      </c>
      <c r="C55" s="108">
        <v>46784</v>
      </c>
      <c r="D55" s="109">
        <f t="shared" si="0"/>
        <v>8.0879019964242016E-3</v>
      </c>
      <c r="E55" s="92">
        <v>49790</v>
      </c>
      <c r="F55" s="109">
        <f t="shared" si="1"/>
        <v>7.8929025542789633E-3</v>
      </c>
      <c r="G55" s="110">
        <f>+'COEF Art 14 F I'!AD54</f>
        <v>1.6199067224484696E-2</v>
      </c>
      <c r="H55" s="92">
        <f t="shared" si="7"/>
        <v>409317.92632941948</v>
      </c>
      <c r="I55" s="92">
        <f t="shared" si="8"/>
        <v>399449.26479895448</v>
      </c>
      <c r="J55" s="92">
        <f t="shared" si="9"/>
        <v>702697.00608514808</v>
      </c>
      <c r="K55" s="92">
        <f t="shared" si="5"/>
        <v>1511464.1972135222</v>
      </c>
      <c r="L55" s="116">
        <f t="shared" si="6"/>
        <v>1.0453E-2</v>
      </c>
    </row>
    <row r="56" spans="1:12">
      <c r="A56" s="85">
        <v>59</v>
      </c>
      <c r="B56" s="95" t="s">
        <v>33</v>
      </c>
      <c r="C56" s="108">
        <v>1552</v>
      </c>
      <c r="D56" s="109">
        <f t="shared" si="0"/>
        <v>2.6830591438206137E-4</v>
      </c>
      <c r="E56" s="92">
        <v>1447</v>
      </c>
      <c r="F56" s="109">
        <f t="shared" si="1"/>
        <v>2.2938401277448604E-4</v>
      </c>
      <c r="G56" s="110">
        <f>+'COEF Art 14 F I'!AD55</f>
        <v>3.5709622722687822E-3</v>
      </c>
      <c r="H56" s="92">
        <f t="shared" si="7"/>
        <v>13578.604259218086</v>
      </c>
      <c r="I56" s="92">
        <f t="shared" si="8"/>
        <v>11608.81876208249</v>
      </c>
      <c r="J56" s="92">
        <f t="shared" si="9"/>
        <v>154904.25854727652</v>
      </c>
      <c r="K56" s="92">
        <f t="shared" si="5"/>
        <v>180091.6815685771</v>
      </c>
      <c r="L56" s="116">
        <f t="shared" si="6"/>
        <v>1.24548E-3</v>
      </c>
    </row>
    <row r="57" spans="1:12">
      <c r="A57" s="85">
        <v>60</v>
      </c>
      <c r="B57" s="95" t="s">
        <v>34</v>
      </c>
      <c r="C57" s="108">
        <v>3573</v>
      </c>
      <c r="D57" s="109">
        <f t="shared" si="0"/>
        <v>6.1769138665406279E-4</v>
      </c>
      <c r="E57" s="92">
        <v>3335</v>
      </c>
      <c r="F57" s="109">
        <f t="shared" si="1"/>
        <v>5.2867704395501787E-4</v>
      </c>
      <c r="G57" s="110">
        <f>+'COEF Art 14 F I'!AD56</f>
        <v>2.6910147136808625E-3</v>
      </c>
      <c r="H57" s="92">
        <f t="shared" si="7"/>
        <v>31260.536738522056</v>
      </c>
      <c r="I57" s="92">
        <f t="shared" si="8"/>
        <v>26755.63964861444</v>
      </c>
      <c r="J57" s="92">
        <f t="shared" si="9"/>
        <v>116733.14002774484</v>
      </c>
      <c r="K57" s="92">
        <f t="shared" si="5"/>
        <v>174749.31641488132</v>
      </c>
      <c r="L57" s="116">
        <f t="shared" si="6"/>
        <v>1.20853E-3</v>
      </c>
    </row>
    <row r="58" spans="1:12">
      <c r="B58" s="97" t="s">
        <v>35</v>
      </c>
      <c r="C58" s="117">
        <f>SUM(C7:C57)</f>
        <v>5784442</v>
      </c>
      <c r="D58" s="118">
        <f>SUM(D7:D57)</f>
        <v>1.0000000000000002</v>
      </c>
      <c r="E58" s="119">
        <f>SUM(E7:E57)</f>
        <v>6308199</v>
      </c>
      <c r="F58" s="118">
        <f t="shared" si="1"/>
        <v>1</v>
      </c>
      <c r="G58" s="118">
        <f t="shared" ref="G58:L58" si="10">SUM(G7:G57)</f>
        <v>1.0000000000000002</v>
      </c>
      <c r="H58" s="119">
        <f t="shared" si="10"/>
        <v>50608665.450000003</v>
      </c>
      <c r="I58" s="119">
        <f t="shared" si="10"/>
        <v>50608665.449999988</v>
      </c>
      <c r="J58" s="119">
        <f t="shared" si="10"/>
        <v>43378856.100000001</v>
      </c>
      <c r="K58" s="119">
        <f t="shared" si="10"/>
        <v>144596187</v>
      </c>
      <c r="L58" s="120">
        <f t="shared" si="10"/>
        <v>0.99999999999999989</v>
      </c>
    </row>
    <row r="60" spans="1:12">
      <c r="B60" s="2" t="s">
        <v>137</v>
      </c>
    </row>
    <row r="61" spans="1:12">
      <c r="B61" s="2" t="s">
        <v>223</v>
      </c>
    </row>
  </sheetData>
  <mergeCells count="3">
    <mergeCell ref="B1:L1"/>
    <mergeCell ref="C3:D3"/>
    <mergeCell ref="E3:F3"/>
  </mergeCells>
  <printOptions horizontalCentered="1"/>
  <pageMargins left="0.19685039370078741" right="0.19685039370078741" top="0.35433070866141736" bottom="0.15748031496062992" header="0.15748031496062992" footer="0.15748031496062992"/>
  <pageSetup scale="70" orientation="landscape" r:id="rId1"/>
  <headerFooter alignWithMargins="0">
    <oddHeader>&amp;LANEXO I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3"/>
  <sheetViews>
    <sheetView showGridLines="0" zoomScaleNormal="100" workbookViewId="0">
      <selection activeCell="H10" sqref="H10"/>
    </sheetView>
  </sheetViews>
  <sheetFormatPr baseColWidth="10" defaultColWidth="11.42578125" defaultRowHeight="12.75"/>
  <cols>
    <col min="1" max="1" width="3" style="49" bestFit="1" customWidth="1"/>
    <col min="2" max="2" width="27.42578125" style="49" customWidth="1"/>
    <col min="3" max="16" width="16" style="49" customWidth="1"/>
    <col min="17" max="17" width="0.28515625" style="49" customWidth="1"/>
    <col min="18" max="18" width="11.42578125" style="49" customWidth="1"/>
    <col min="19" max="19" width="21.28515625" style="49" customWidth="1"/>
    <col min="20" max="20" width="16.7109375" style="49" bestFit="1" customWidth="1"/>
    <col min="21" max="22" width="15.28515625" style="49" bestFit="1" customWidth="1"/>
    <col min="23" max="23" width="14.28515625" style="49" bestFit="1" customWidth="1"/>
    <col min="24" max="24" width="13.28515625" style="49" bestFit="1" customWidth="1"/>
    <col min="25" max="25" width="12.5703125" style="49" bestFit="1" customWidth="1"/>
    <col min="26" max="26" width="14.28515625" style="49" bestFit="1" customWidth="1"/>
    <col min="27" max="16384" width="11.42578125" style="49"/>
  </cols>
  <sheetData>
    <row r="1" spans="1:27">
      <c r="B1" s="54"/>
      <c r="C1" s="267" t="s">
        <v>114</v>
      </c>
      <c r="D1" s="267"/>
      <c r="E1" s="267"/>
      <c r="F1" s="267"/>
      <c r="G1" s="267" t="s">
        <v>113</v>
      </c>
      <c r="H1" s="267"/>
      <c r="I1" s="267"/>
      <c r="J1" s="267"/>
      <c r="K1" s="148" t="s">
        <v>179</v>
      </c>
      <c r="L1" s="149"/>
      <c r="M1" s="149"/>
      <c r="N1" s="149"/>
      <c r="O1" s="149"/>
      <c r="P1" s="149"/>
    </row>
    <row r="2" spans="1:27" ht="50.25" customHeight="1">
      <c r="B2" s="146" t="s">
        <v>0</v>
      </c>
      <c r="C2" s="147" t="s">
        <v>188</v>
      </c>
      <c r="D2" s="147" t="s">
        <v>187</v>
      </c>
      <c r="E2" s="147" t="s">
        <v>112</v>
      </c>
      <c r="F2" s="147" t="s">
        <v>111</v>
      </c>
      <c r="G2" s="147" t="s">
        <v>176</v>
      </c>
      <c r="H2" s="147" t="s">
        <v>211</v>
      </c>
      <c r="I2" s="147" t="s">
        <v>110</v>
      </c>
      <c r="J2" s="147" t="s">
        <v>109</v>
      </c>
      <c r="K2" s="147" t="s">
        <v>210</v>
      </c>
      <c r="L2" s="147" t="s">
        <v>108</v>
      </c>
      <c r="M2" s="147" t="s">
        <v>107</v>
      </c>
      <c r="N2" s="147" t="s">
        <v>106</v>
      </c>
      <c r="O2" s="147" t="s">
        <v>178</v>
      </c>
      <c r="P2" s="147" t="s">
        <v>59</v>
      </c>
    </row>
    <row r="3" spans="1:27" ht="21" customHeight="1">
      <c r="B3" s="54"/>
      <c r="C3" s="56" t="s">
        <v>105</v>
      </c>
      <c r="D3" s="56" t="s">
        <v>104</v>
      </c>
      <c r="E3" s="56" t="s">
        <v>103</v>
      </c>
      <c r="F3" s="56" t="s">
        <v>102</v>
      </c>
      <c r="G3" s="56" t="s">
        <v>101</v>
      </c>
      <c r="H3" s="56" t="s">
        <v>100</v>
      </c>
      <c r="I3" s="56"/>
      <c r="J3" s="56" t="s">
        <v>99</v>
      </c>
      <c r="K3" s="56" t="s">
        <v>98</v>
      </c>
      <c r="L3" s="75">
        <f>L4*O3</f>
        <v>158060210.04454345</v>
      </c>
      <c r="M3" s="75">
        <f>O3*M4</f>
        <v>94836126.026726067</v>
      </c>
      <c r="N3" s="75">
        <f>O3*N4</f>
        <v>63224084.017817378</v>
      </c>
      <c r="O3" s="75">
        <f>+'PART 2025'!G25</f>
        <v>316120420.08908689</v>
      </c>
      <c r="P3" s="76"/>
    </row>
    <row r="4" spans="1:27">
      <c r="G4" s="55"/>
      <c r="H4" s="54"/>
      <c r="I4" s="54"/>
      <c r="J4" s="54"/>
      <c r="L4" s="77">
        <v>0.5</v>
      </c>
      <c r="M4" s="77">
        <v>0.3</v>
      </c>
      <c r="N4" s="77">
        <v>0.2</v>
      </c>
      <c r="O4" s="78" t="s">
        <v>97</v>
      </c>
      <c r="P4" s="78"/>
    </row>
    <row r="5" spans="1:27">
      <c r="A5" s="85">
        <v>15</v>
      </c>
      <c r="B5" s="125" t="s">
        <v>1</v>
      </c>
      <c r="C5" s="126">
        <v>867745</v>
      </c>
      <c r="D5" s="126">
        <v>581848.32000000007</v>
      </c>
      <c r="E5" s="127">
        <f t="shared" ref="E5:E36" si="0">IFERROR(D5/C5,0)</f>
        <v>0.67052915314983097</v>
      </c>
      <c r="F5" s="128">
        <f t="shared" ref="F5:F36" si="1">IFERROR(E5/$E$56,0)</f>
        <v>3.5402428813286313E-2</v>
      </c>
      <c r="G5" s="126">
        <v>256285.3</v>
      </c>
      <c r="H5" s="129">
        <f t="shared" ref="H5:H36" si="2">IFERROR((D5/G5)-1,0)</f>
        <v>1.2703148405312366</v>
      </c>
      <c r="I5" s="128">
        <f t="shared" ref="I5:I36" si="3">IF(H5&lt;0,0,H5)</f>
        <v>1.2703148405312366</v>
      </c>
      <c r="J5" s="130">
        <f t="shared" ref="J5:J36" si="4">IFERROR(I5/$I$56,0)</f>
        <v>8.915227361634967E-2</v>
      </c>
      <c r="K5" s="131">
        <f t="shared" ref="K5:K36" si="5">IFERROR(D5/$D$56,0)</f>
        <v>1.7844963934652417E-4</v>
      </c>
      <c r="L5" s="126">
        <f t="shared" ref="L5:L36" si="6">IFERROR($L$3*F5,0)</f>
        <v>5595715.3343150318</v>
      </c>
      <c r="M5" s="126">
        <f t="shared" ref="M5:M36" si="7">IFERROR($M$3*J5,0)</f>
        <v>8454856.256249303</v>
      </c>
      <c r="N5" s="126">
        <f t="shared" ref="N5:N36" si="8">IFERROR($N$3*K5,0)</f>
        <v>11282.314990993853</v>
      </c>
      <c r="O5" s="132">
        <f t="shared" ref="O5:O36" si="9">IFERROR(SUM(L5:N5),0)</f>
        <v>14061853.905555328</v>
      </c>
      <c r="P5" s="133">
        <f t="shared" ref="P5:P36" si="10">IFERROR(O5/$O$56,0)</f>
        <v>4.4482586419417366E-2</v>
      </c>
      <c r="R5" s="50"/>
      <c r="AA5" s="50"/>
    </row>
    <row r="6" spans="1:27">
      <c r="A6" s="85">
        <v>11</v>
      </c>
      <c r="B6" s="134" t="s">
        <v>2</v>
      </c>
      <c r="C6" s="51">
        <v>2929211</v>
      </c>
      <c r="D6" s="51">
        <v>1003120</v>
      </c>
      <c r="E6" s="53">
        <f t="shared" si="0"/>
        <v>0.34245399187699349</v>
      </c>
      <c r="F6" s="52">
        <f t="shared" si="1"/>
        <v>1.8080799339297227E-2</v>
      </c>
      <c r="G6" s="51">
        <v>975274</v>
      </c>
      <c r="H6" s="121">
        <f t="shared" si="2"/>
        <v>2.8551976162596304E-2</v>
      </c>
      <c r="I6" s="52">
        <f t="shared" si="3"/>
        <v>2.8551976162596304E-2</v>
      </c>
      <c r="J6" s="122">
        <f t="shared" si="4"/>
        <v>2.003813157115271E-3</v>
      </c>
      <c r="K6" s="123">
        <f t="shared" si="5"/>
        <v>3.0765131747958867E-4</v>
      </c>
      <c r="L6" s="51">
        <f t="shared" si="6"/>
        <v>2857854.941342562</v>
      </c>
      <c r="M6" s="51">
        <f t="shared" si="7"/>
        <v>190033.87710219569</v>
      </c>
      <c r="N6" s="51">
        <f t="shared" si="8"/>
        <v>19450.972744521721</v>
      </c>
      <c r="O6" s="124">
        <f t="shared" si="9"/>
        <v>3067339.7911892794</v>
      </c>
      <c r="P6" s="135">
        <f t="shared" si="10"/>
        <v>9.7030738802791131E-3</v>
      </c>
      <c r="R6" s="50"/>
      <c r="S6" s="50"/>
      <c r="T6" s="50"/>
      <c r="U6" s="50"/>
      <c r="V6" s="50"/>
      <c r="W6" s="50"/>
      <c r="X6" s="50"/>
    </row>
    <row r="7" spans="1:27">
      <c r="A7" s="85">
        <v>12</v>
      </c>
      <c r="B7" s="134" t="s">
        <v>132</v>
      </c>
      <c r="C7" s="51">
        <v>1419453</v>
      </c>
      <c r="D7" s="51">
        <v>267295</v>
      </c>
      <c r="E7" s="53">
        <f t="shared" si="0"/>
        <v>0.18830845403123597</v>
      </c>
      <c r="F7" s="52">
        <f t="shared" si="1"/>
        <v>9.9422621782578498E-3</v>
      </c>
      <c r="G7" s="51">
        <v>285165</v>
      </c>
      <c r="H7" s="121">
        <f t="shared" si="2"/>
        <v>-6.2665474374484997E-2</v>
      </c>
      <c r="I7" s="52">
        <f t="shared" si="3"/>
        <v>0</v>
      </c>
      <c r="J7" s="122">
        <f t="shared" si="4"/>
        <v>0</v>
      </c>
      <c r="K7" s="123">
        <f t="shared" si="5"/>
        <v>8.197788789547278E-5</v>
      </c>
      <c r="L7" s="51">
        <f t="shared" si="6"/>
        <v>1571476.0482133557</v>
      </c>
      <c r="M7" s="51">
        <f t="shared" si="7"/>
        <v>0</v>
      </c>
      <c r="N7" s="51">
        <f t="shared" si="8"/>
        <v>5182.9768719065851</v>
      </c>
      <c r="O7" s="124">
        <f t="shared" si="9"/>
        <v>1576659.0250852623</v>
      </c>
      <c r="P7" s="135">
        <f t="shared" si="10"/>
        <v>4.9875266667080195E-3</v>
      </c>
      <c r="R7" s="50"/>
      <c r="S7" s="50"/>
      <c r="T7" s="50"/>
      <c r="U7" s="50"/>
      <c r="V7" s="50"/>
      <c r="W7" s="50"/>
      <c r="X7" s="50"/>
    </row>
    <row r="8" spans="1:27">
      <c r="A8" s="85">
        <v>13</v>
      </c>
      <c r="B8" s="134" t="s">
        <v>3</v>
      </c>
      <c r="C8" s="51">
        <v>64073478</v>
      </c>
      <c r="D8" s="51">
        <v>28681223.559999999</v>
      </c>
      <c r="E8" s="53">
        <f t="shared" si="0"/>
        <v>0.4476301966938645</v>
      </c>
      <c r="F8" s="52">
        <f t="shared" si="1"/>
        <v>2.3633866027583151E-2</v>
      </c>
      <c r="G8" s="51">
        <v>27665867</v>
      </c>
      <c r="H8" s="121">
        <f t="shared" si="2"/>
        <v>3.670069548154764E-2</v>
      </c>
      <c r="I8" s="52">
        <f t="shared" si="3"/>
        <v>3.670069548154764E-2</v>
      </c>
      <c r="J8" s="122">
        <f t="shared" si="4"/>
        <v>2.5757004020459657E-3</v>
      </c>
      <c r="K8" s="123">
        <f t="shared" si="5"/>
        <v>8.7963715359683971E-3</v>
      </c>
      <c r="L8" s="51">
        <f t="shared" si="6"/>
        <v>3735573.8284843923</v>
      </c>
      <c r="M8" s="51">
        <f t="shared" si="7"/>
        <v>244269.44793552021</v>
      </c>
      <c r="N8" s="51">
        <f t="shared" si="8"/>
        <v>556142.53304200328</v>
      </c>
      <c r="O8" s="124">
        <f t="shared" si="9"/>
        <v>4535985.8094619159</v>
      </c>
      <c r="P8" s="135">
        <f t="shared" si="10"/>
        <v>1.4348917441599045E-2</v>
      </c>
      <c r="R8" s="50"/>
      <c r="S8" s="50"/>
      <c r="T8" s="50"/>
      <c r="U8" s="50"/>
      <c r="V8" s="50"/>
      <c r="W8" s="50"/>
      <c r="X8" s="50"/>
    </row>
    <row r="9" spans="1:27">
      <c r="A9" s="85">
        <v>14</v>
      </c>
      <c r="B9" s="134" t="s">
        <v>133</v>
      </c>
      <c r="C9" s="51">
        <v>12189008</v>
      </c>
      <c r="D9" s="51">
        <v>4355721.2300000004</v>
      </c>
      <c r="E9" s="53">
        <f t="shared" si="0"/>
        <v>0.35734829528375078</v>
      </c>
      <c r="F9" s="52">
        <f t="shared" si="1"/>
        <v>1.8867185007398653E-2</v>
      </c>
      <c r="G9" s="51">
        <v>2390993</v>
      </c>
      <c r="H9" s="121">
        <f t="shared" si="2"/>
        <v>0.82172061147816011</v>
      </c>
      <c r="I9" s="52">
        <f t="shared" si="3"/>
        <v>0.82172061147816011</v>
      </c>
      <c r="J9" s="122">
        <f t="shared" si="4"/>
        <v>5.7669373334297981E-2</v>
      </c>
      <c r="K9" s="123">
        <f t="shared" si="5"/>
        <v>1.3358754435992847E-3</v>
      </c>
      <c r="L9" s="51">
        <f t="shared" si="6"/>
        <v>2982151.2252186919</v>
      </c>
      <c r="M9" s="51">
        <f t="shared" si="7"/>
        <v>5469139.9574137991</v>
      </c>
      <c r="N9" s="51">
        <f t="shared" si="8"/>
        <v>84459.501283460238</v>
      </c>
      <c r="O9" s="124">
        <f t="shared" si="9"/>
        <v>8535750.6839159504</v>
      </c>
      <c r="P9" s="135">
        <f t="shared" si="10"/>
        <v>2.7001579592708574E-2</v>
      </c>
      <c r="R9" s="50"/>
      <c r="S9" s="50"/>
      <c r="T9" s="50"/>
      <c r="U9" s="50"/>
      <c r="V9" s="50"/>
      <c r="W9" s="50"/>
      <c r="X9" s="50"/>
    </row>
    <row r="10" spans="1:27">
      <c r="A10" s="85">
        <v>17</v>
      </c>
      <c r="B10" s="134" t="s">
        <v>4</v>
      </c>
      <c r="C10" s="51">
        <v>703224863</v>
      </c>
      <c r="D10" s="51">
        <v>362556595.76999998</v>
      </c>
      <c r="E10" s="53">
        <f t="shared" si="0"/>
        <v>0.51556282328146297</v>
      </c>
      <c r="F10" s="52">
        <f t="shared" si="1"/>
        <v>2.7220555682417023E-2</v>
      </c>
      <c r="G10" s="51">
        <v>367799477.69</v>
      </c>
      <c r="H10" s="121">
        <f t="shared" si="2"/>
        <v>-1.4254729106545905E-2</v>
      </c>
      <c r="I10" s="52">
        <f t="shared" si="3"/>
        <v>0</v>
      </c>
      <c r="J10" s="122">
        <f t="shared" si="4"/>
        <v>0</v>
      </c>
      <c r="K10" s="123">
        <f t="shared" si="5"/>
        <v>0.11119408879252249</v>
      </c>
      <c r="L10" s="51">
        <f t="shared" si="6"/>
        <v>4302486.7486920254</v>
      </c>
      <c r="M10" s="51">
        <f t="shared" si="7"/>
        <v>0</v>
      </c>
      <c r="N10" s="51">
        <f t="shared" si="8"/>
        <v>7030144.4121030876</v>
      </c>
      <c r="O10" s="124">
        <f t="shared" si="9"/>
        <v>11332631.160795113</v>
      </c>
      <c r="P10" s="135">
        <f t="shared" si="10"/>
        <v>3.5849095599713013E-2</v>
      </c>
      <c r="R10" s="50"/>
      <c r="S10" s="50"/>
      <c r="T10" s="50"/>
      <c r="U10" s="50"/>
      <c r="V10" s="50"/>
      <c r="W10" s="50"/>
      <c r="X10" s="50"/>
    </row>
    <row r="11" spans="1:27">
      <c r="A11" s="85">
        <v>16</v>
      </c>
      <c r="B11" s="136" t="s">
        <v>5</v>
      </c>
      <c r="C11" s="51">
        <v>2162502</v>
      </c>
      <c r="D11" s="51">
        <v>399351</v>
      </c>
      <c r="E11" s="53">
        <f t="shared" si="0"/>
        <v>0.18467081186514508</v>
      </c>
      <c r="F11" s="52">
        <f t="shared" si="1"/>
        <v>9.7502028662528658E-3</v>
      </c>
      <c r="G11" s="51">
        <v>889829</v>
      </c>
      <c r="H11" s="121">
        <f t="shared" si="2"/>
        <v>-0.55120478204239243</v>
      </c>
      <c r="I11" s="52">
        <f t="shared" si="3"/>
        <v>0</v>
      </c>
      <c r="J11" s="122">
        <f t="shared" si="4"/>
        <v>0</v>
      </c>
      <c r="K11" s="123">
        <f t="shared" si="5"/>
        <v>1.2247872765650293E-4</v>
      </c>
      <c r="L11" s="51">
        <f t="shared" si="6"/>
        <v>1541119.1130168375</v>
      </c>
      <c r="M11" s="51">
        <f t="shared" si="7"/>
        <v>0</v>
      </c>
      <c r="N11" s="51">
        <f t="shared" si="8"/>
        <v>7743.6053677501141</v>
      </c>
      <c r="O11" s="124">
        <f t="shared" si="9"/>
        <v>1548862.7183845877</v>
      </c>
      <c r="P11" s="135">
        <f t="shared" si="10"/>
        <v>4.8995971786577339E-3</v>
      </c>
      <c r="R11" s="50"/>
      <c r="S11" s="50"/>
      <c r="T11" s="50"/>
      <c r="U11" s="50"/>
      <c r="V11" s="50"/>
      <c r="W11" s="50"/>
      <c r="X11" s="50"/>
    </row>
    <row r="12" spans="1:27">
      <c r="A12" s="85">
        <v>18</v>
      </c>
      <c r="B12" s="134" t="s">
        <v>6</v>
      </c>
      <c r="C12" s="51">
        <v>2308359</v>
      </c>
      <c r="D12" s="51">
        <v>3811210</v>
      </c>
      <c r="E12" s="53">
        <f t="shared" si="0"/>
        <v>1.6510473457551447</v>
      </c>
      <c r="F12" s="52">
        <f t="shared" si="1"/>
        <v>8.7171580610456809E-2</v>
      </c>
      <c r="G12" s="51">
        <v>801056</v>
      </c>
      <c r="H12" s="121">
        <f t="shared" si="2"/>
        <v>3.7577322933727482</v>
      </c>
      <c r="I12" s="52">
        <f t="shared" si="3"/>
        <v>3.7577322933727482</v>
      </c>
      <c r="J12" s="122">
        <f t="shared" si="4"/>
        <v>0.26372232056712919</v>
      </c>
      <c r="K12" s="123">
        <f t="shared" si="5"/>
        <v>1.1688768818201045E-3</v>
      </c>
      <c r="L12" s="51">
        <f t="shared" si="6"/>
        <v>13778358.341203654</v>
      </c>
      <c r="M12" s="51">
        <f t="shared" si="7"/>
        <v>25010403.229364917</v>
      </c>
      <c r="N12" s="51">
        <f t="shared" si="8"/>
        <v>73901.170182678674</v>
      </c>
      <c r="O12" s="124">
        <f t="shared" si="9"/>
        <v>38862662.740751244</v>
      </c>
      <c r="P12" s="135">
        <f t="shared" si="10"/>
        <v>0.12293626185173116</v>
      </c>
      <c r="R12" s="50"/>
      <c r="S12" s="50"/>
      <c r="T12" s="50"/>
      <c r="U12" s="50"/>
      <c r="V12" s="50"/>
      <c r="W12" s="50"/>
      <c r="X12" s="50"/>
    </row>
    <row r="13" spans="1:27">
      <c r="A13" s="85">
        <v>19</v>
      </c>
      <c r="B13" s="134" t="s">
        <v>117</v>
      </c>
      <c r="C13" s="51">
        <v>115337454</v>
      </c>
      <c r="D13" s="51">
        <v>36158711.829999998</v>
      </c>
      <c r="E13" s="53">
        <f t="shared" si="0"/>
        <v>0.313503641497063</v>
      </c>
      <c r="F13" s="52">
        <f t="shared" si="1"/>
        <v>1.6552286054482349E-2</v>
      </c>
      <c r="G13" s="51">
        <v>34923971.5</v>
      </c>
      <c r="H13" s="121">
        <f t="shared" si="2"/>
        <v>3.5355094995424441E-2</v>
      </c>
      <c r="I13" s="52">
        <f t="shared" si="3"/>
        <v>3.5355094995424441E-2</v>
      </c>
      <c r="J13" s="122">
        <f t="shared" si="4"/>
        <v>2.4812644882948672E-3</v>
      </c>
      <c r="K13" s="123">
        <f t="shared" si="5"/>
        <v>1.1089675545163378E-2</v>
      </c>
      <c r="L13" s="51">
        <f t="shared" si="6"/>
        <v>2616257.8104888471</v>
      </c>
      <c r="M13" s="51">
        <f t="shared" si="7"/>
        <v>235313.51171757199</v>
      </c>
      <c r="N13" s="51">
        <f t="shared" si="8"/>
        <v>701134.5783977441</v>
      </c>
      <c r="O13" s="124">
        <f t="shared" si="9"/>
        <v>3552705.9006041633</v>
      </c>
      <c r="P13" s="135">
        <f t="shared" si="10"/>
        <v>1.123845748276231E-2</v>
      </c>
      <c r="R13" s="50"/>
      <c r="S13" s="50"/>
      <c r="T13" s="50"/>
      <c r="U13" s="50"/>
      <c r="V13" s="50"/>
      <c r="W13" s="50"/>
      <c r="X13" s="50"/>
    </row>
    <row r="14" spans="1:27">
      <c r="A14" s="85">
        <v>20</v>
      </c>
      <c r="B14" s="134" t="s">
        <v>118</v>
      </c>
      <c r="C14" s="51">
        <v>93241311</v>
      </c>
      <c r="D14" s="51">
        <v>22829265</v>
      </c>
      <c r="E14" s="53">
        <f t="shared" si="0"/>
        <v>0.24484066938955845</v>
      </c>
      <c r="F14" s="52">
        <f t="shared" si="1"/>
        <v>1.2927035801416293E-2</v>
      </c>
      <c r="G14" s="71">
        <v>18680439</v>
      </c>
      <c r="H14" s="121">
        <f t="shared" si="2"/>
        <v>0.22209467347100365</v>
      </c>
      <c r="I14" s="52">
        <f t="shared" si="3"/>
        <v>0.22209467347100365</v>
      </c>
      <c r="J14" s="122">
        <f t="shared" si="4"/>
        <v>1.5586880091663285E-2</v>
      </c>
      <c r="K14" s="123">
        <f t="shared" si="5"/>
        <v>7.0016084360202784E-3</v>
      </c>
      <c r="L14" s="51">
        <f t="shared" si="6"/>
        <v>2043249.9940251922</v>
      </c>
      <c r="M14" s="51">
        <f t="shared" si="7"/>
        <v>1478199.3247364468</v>
      </c>
      <c r="N14" s="51">
        <f t="shared" si="8"/>
        <v>442670.280018805</v>
      </c>
      <c r="O14" s="124">
        <f t="shared" si="9"/>
        <v>3964119.5987804444</v>
      </c>
      <c r="P14" s="135">
        <f t="shared" si="10"/>
        <v>1.2539903615411189E-2</v>
      </c>
      <c r="R14" s="50"/>
      <c r="S14" s="50"/>
      <c r="T14" s="50"/>
      <c r="U14" s="50"/>
      <c r="V14" s="50"/>
      <c r="W14" s="50"/>
      <c r="X14" s="50"/>
    </row>
    <row r="15" spans="1:27">
      <c r="A15" s="85">
        <v>23</v>
      </c>
      <c r="B15" s="134" t="s">
        <v>119</v>
      </c>
      <c r="C15" s="51">
        <v>4681587</v>
      </c>
      <c r="D15" s="51">
        <v>1404732</v>
      </c>
      <c r="E15" s="53">
        <f t="shared" si="0"/>
        <v>0.30005466095151068</v>
      </c>
      <c r="F15" s="52">
        <f t="shared" si="1"/>
        <v>1.5842210177634087E-2</v>
      </c>
      <c r="G15" s="51">
        <v>1301173</v>
      </c>
      <c r="H15" s="121">
        <f t="shared" si="2"/>
        <v>7.9588955503995251E-2</v>
      </c>
      <c r="I15" s="52">
        <f t="shared" si="3"/>
        <v>7.9588955503995251E-2</v>
      </c>
      <c r="J15" s="122">
        <f t="shared" si="4"/>
        <v>5.5856517703629762E-3</v>
      </c>
      <c r="K15" s="123">
        <f t="shared" si="5"/>
        <v>4.3082348124425548E-4</v>
      </c>
      <c r="L15" s="51">
        <f t="shared" si="6"/>
        <v>2504023.0682466477</v>
      </c>
      <c r="M15" s="51">
        <f t="shared" si="7"/>
        <v>529721.57523554878</v>
      </c>
      <c r="N15" s="51">
        <f t="shared" si="8"/>
        <v>27238.419975035376</v>
      </c>
      <c r="O15" s="124">
        <f t="shared" si="9"/>
        <v>3060983.063457232</v>
      </c>
      <c r="P15" s="135">
        <f t="shared" si="10"/>
        <v>9.6829653161747877E-3</v>
      </c>
      <c r="R15" s="50"/>
      <c r="S15" s="50"/>
      <c r="T15" s="50"/>
      <c r="U15" s="50"/>
      <c r="V15" s="50"/>
      <c r="W15" s="50"/>
      <c r="X15" s="50"/>
    </row>
    <row r="16" spans="1:27">
      <c r="A16" s="85">
        <v>21</v>
      </c>
      <c r="B16" s="134" t="s">
        <v>7</v>
      </c>
      <c r="C16" s="51">
        <v>5724267</v>
      </c>
      <c r="D16" s="51">
        <v>1919119.6800000002</v>
      </c>
      <c r="E16" s="53">
        <f t="shared" si="0"/>
        <v>0.33526033638892111</v>
      </c>
      <c r="F16" s="52">
        <f t="shared" si="1"/>
        <v>1.7700990534374343E-2</v>
      </c>
      <c r="G16" s="71">
        <v>1894767.5</v>
      </c>
      <c r="H16" s="121">
        <f t="shared" si="2"/>
        <v>1.2852331486580937E-2</v>
      </c>
      <c r="I16" s="52">
        <f t="shared" si="3"/>
        <v>1.2852331486580937E-2</v>
      </c>
      <c r="J16" s="122">
        <f t="shared" si="4"/>
        <v>9.0199259013656668E-4</v>
      </c>
      <c r="K16" s="123">
        <f t="shared" si="5"/>
        <v>5.8858331800084403E-4</v>
      </c>
      <c r="L16" s="51">
        <f t="shared" si="6"/>
        <v>2797822.2818596838</v>
      </c>
      <c r="M16" s="51">
        <f t="shared" si="7"/>
        <v>85541.48295336451</v>
      </c>
      <c r="N16" s="51">
        <f t="shared" si="8"/>
        <v>37212.641148771087</v>
      </c>
      <c r="O16" s="124">
        <f t="shared" si="9"/>
        <v>2920576.4059618195</v>
      </c>
      <c r="P16" s="135">
        <f t="shared" si="10"/>
        <v>9.2388097078283105E-3</v>
      </c>
      <c r="R16" s="50"/>
      <c r="S16" s="50"/>
      <c r="T16" s="50"/>
      <c r="U16" s="50"/>
      <c r="V16" s="50"/>
      <c r="W16" s="50"/>
      <c r="X16" s="50"/>
    </row>
    <row r="17" spans="1:24">
      <c r="A17" s="85">
        <v>22</v>
      </c>
      <c r="B17" s="134" t="s">
        <v>120</v>
      </c>
      <c r="C17" s="51">
        <v>87740482</v>
      </c>
      <c r="D17" s="51">
        <v>29478212.100000001</v>
      </c>
      <c r="E17" s="53">
        <f t="shared" si="0"/>
        <v>0.33597048281544661</v>
      </c>
      <c r="F17" s="52">
        <f t="shared" si="1"/>
        <v>1.7738484665977688E-2</v>
      </c>
      <c r="G17" s="51">
        <v>26652471.84</v>
      </c>
      <c r="H17" s="121">
        <f t="shared" si="2"/>
        <v>0.10602169573476994</v>
      </c>
      <c r="I17" s="52">
        <f t="shared" si="3"/>
        <v>0.10602169573476994</v>
      </c>
      <c r="J17" s="122">
        <f t="shared" si="4"/>
        <v>7.4407343170633132E-3</v>
      </c>
      <c r="K17" s="123">
        <f t="shared" si="5"/>
        <v>9.0408034826419091E-3</v>
      </c>
      <c r="L17" s="51">
        <f t="shared" si="6"/>
        <v>2803748.6121763466</v>
      </c>
      <c r="M17" s="51">
        <f t="shared" si="7"/>
        <v>705650.41742440185</v>
      </c>
      <c r="N17" s="51">
        <f t="shared" si="8"/>
        <v>571596.51897512807</v>
      </c>
      <c r="O17" s="124">
        <f t="shared" si="9"/>
        <v>4080995.5485758763</v>
      </c>
      <c r="P17" s="135">
        <f t="shared" si="10"/>
        <v>1.2909623324636219E-2</v>
      </c>
      <c r="R17" s="50"/>
      <c r="S17" s="50"/>
      <c r="T17" s="50"/>
      <c r="U17" s="50"/>
      <c r="V17" s="50"/>
      <c r="W17" s="50"/>
      <c r="X17" s="50"/>
    </row>
    <row r="18" spans="1:24">
      <c r="A18" s="85">
        <v>25</v>
      </c>
      <c r="B18" s="134" t="s">
        <v>8</v>
      </c>
      <c r="C18" s="51">
        <v>8041255</v>
      </c>
      <c r="D18" s="51">
        <v>869327</v>
      </c>
      <c r="E18" s="53">
        <f t="shared" si="0"/>
        <v>0.10810837363073302</v>
      </c>
      <c r="F18" s="52">
        <f t="shared" si="1"/>
        <v>5.7078785964835869E-3</v>
      </c>
      <c r="G18" s="51">
        <v>883533</v>
      </c>
      <c r="H18" s="121">
        <f t="shared" si="2"/>
        <v>-1.6078629773873754E-2</v>
      </c>
      <c r="I18" s="52">
        <f t="shared" si="3"/>
        <v>0</v>
      </c>
      <c r="J18" s="122">
        <f t="shared" si="4"/>
        <v>0</v>
      </c>
      <c r="K18" s="123">
        <f t="shared" si="5"/>
        <v>2.6661774949216286E-4</v>
      </c>
      <c r="L18" s="51">
        <f t="shared" si="6"/>
        <v>902188.48986894963</v>
      </c>
      <c r="M18" s="51">
        <f t="shared" si="7"/>
        <v>0</v>
      </c>
      <c r="N18" s="51">
        <f t="shared" si="8"/>
        <v>16856.66299453389</v>
      </c>
      <c r="O18" s="124">
        <f t="shared" si="9"/>
        <v>919045.15286348353</v>
      </c>
      <c r="P18" s="135">
        <f t="shared" si="10"/>
        <v>2.9072628481402263E-3</v>
      </c>
      <c r="R18" s="50"/>
      <c r="S18" s="50"/>
      <c r="T18" s="50"/>
      <c r="U18" s="50"/>
      <c r="V18" s="50"/>
      <c r="W18" s="50"/>
      <c r="X18" s="50"/>
    </row>
    <row r="19" spans="1:24">
      <c r="A19" s="85">
        <v>27</v>
      </c>
      <c r="B19" s="134" t="s">
        <v>9</v>
      </c>
      <c r="C19" s="51">
        <v>1886768</v>
      </c>
      <c r="D19" s="51">
        <v>260498</v>
      </c>
      <c r="E19" s="53">
        <f t="shared" si="0"/>
        <v>0.13806572933185213</v>
      </c>
      <c r="F19" s="52">
        <f t="shared" si="1"/>
        <v>7.2895594938183839E-3</v>
      </c>
      <c r="G19" s="51">
        <v>269839</v>
      </c>
      <c r="H19" s="121">
        <f t="shared" si="2"/>
        <v>-3.4616938248362872E-2</v>
      </c>
      <c r="I19" s="52">
        <f t="shared" si="3"/>
        <v>0</v>
      </c>
      <c r="J19" s="122">
        <f t="shared" si="4"/>
        <v>0</v>
      </c>
      <c r="K19" s="123">
        <f t="shared" si="5"/>
        <v>7.9893285848949168E-5</v>
      </c>
      <c r="L19" s="51">
        <f t="shared" si="6"/>
        <v>1152189.3047251296</v>
      </c>
      <c r="M19" s="51">
        <f t="shared" si="7"/>
        <v>0</v>
      </c>
      <c r="N19" s="51">
        <f t="shared" si="8"/>
        <v>5051.179816973462</v>
      </c>
      <c r="O19" s="124">
        <f t="shared" si="9"/>
        <v>1157240.484542103</v>
      </c>
      <c r="P19" s="135">
        <f t="shared" si="10"/>
        <v>3.6607584040789817E-3</v>
      </c>
      <c r="R19" s="50"/>
      <c r="S19" s="50"/>
      <c r="T19" s="50"/>
      <c r="U19" s="50"/>
      <c r="V19" s="50"/>
      <c r="W19" s="50"/>
      <c r="X19" s="50"/>
    </row>
    <row r="20" spans="1:24">
      <c r="A20" s="85">
        <v>26</v>
      </c>
      <c r="B20" s="134" t="s">
        <v>121</v>
      </c>
      <c r="C20" s="51">
        <v>2481784</v>
      </c>
      <c r="D20" s="51">
        <v>814501</v>
      </c>
      <c r="E20" s="53">
        <f t="shared" si="0"/>
        <v>0.32819173626713688</v>
      </c>
      <c r="F20" s="52">
        <f t="shared" si="1"/>
        <v>1.7327784371084475E-2</v>
      </c>
      <c r="G20" s="51">
        <v>767171</v>
      </c>
      <c r="H20" s="121">
        <f t="shared" si="2"/>
        <v>6.169419855547198E-2</v>
      </c>
      <c r="I20" s="52">
        <f t="shared" si="3"/>
        <v>6.169419855547198E-2</v>
      </c>
      <c r="J20" s="122">
        <f t="shared" si="4"/>
        <v>4.3297754971190509E-3</v>
      </c>
      <c r="K20" s="123">
        <f t="shared" si="5"/>
        <v>2.4980292062608907E-4</v>
      </c>
      <c r="L20" s="51">
        <f t="shared" si="6"/>
        <v>2738833.2373001692</v>
      </c>
      <c r="M20" s="51">
        <f t="shared" si="7"/>
        <v>410619.13471221284</v>
      </c>
      <c r="N20" s="51">
        <f t="shared" si="8"/>
        <v>15793.56084156002</v>
      </c>
      <c r="O20" s="124">
        <f t="shared" si="9"/>
        <v>3165245.9328539418</v>
      </c>
      <c r="P20" s="135">
        <f t="shared" si="10"/>
        <v>1.0012785418803169E-2</v>
      </c>
      <c r="R20" s="50"/>
      <c r="S20" s="50"/>
      <c r="T20" s="50"/>
      <c r="U20" s="50"/>
      <c r="V20" s="50"/>
      <c r="W20" s="50"/>
      <c r="X20" s="50"/>
    </row>
    <row r="21" spans="1:24">
      <c r="A21" s="85">
        <v>29</v>
      </c>
      <c r="B21" s="134" t="s">
        <v>10</v>
      </c>
      <c r="C21" s="51">
        <v>11593711</v>
      </c>
      <c r="D21" s="51">
        <v>1532778</v>
      </c>
      <c r="E21" s="53">
        <f t="shared" si="0"/>
        <v>0.13220771157742331</v>
      </c>
      <c r="F21" s="52">
        <f t="shared" si="1"/>
        <v>6.980269352496531E-3</v>
      </c>
      <c r="G21" s="51">
        <v>1276918</v>
      </c>
      <c r="H21" s="121">
        <f t="shared" si="2"/>
        <v>0.20037308582070268</v>
      </c>
      <c r="I21" s="52">
        <f t="shared" si="3"/>
        <v>0.20037308582070268</v>
      </c>
      <c r="J21" s="122">
        <f t="shared" si="4"/>
        <v>1.4062432085709651E-2</v>
      </c>
      <c r="K21" s="123">
        <f t="shared" si="5"/>
        <v>4.7009447633755577E-4</v>
      </c>
      <c r="L21" s="51">
        <f t="shared" si="6"/>
        <v>1103302.8400230911</v>
      </c>
      <c r="M21" s="51">
        <f t="shared" si="7"/>
        <v>1333626.5815226368</v>
      </c>
      <c r="N21" s="51">
        <f t="shared" si="8"/>
        <v>29721.292668277489</v>
      </c>
      <c r="O21" s="124">
        <f t="shared" si="9"/>
        <v>2466650.7142140055</v>
      </c>
      <c r="P21" s="135">
        <f t="shared" si="10"/>
        <v>7.8028831972286727E-3</v>
      </c>
      <c r="R21" s="50"/>
      <c r="S21" s="50"/>
      <c r="T21" s="50"/>
      <c r="U21" s="50"/>
      <c r="V21" s="50"/>
      <c r="W21" s="50"/>
      <c r="X21" s="50"/>
    </row>
    <row r="22" spans="1:24">
      <c r="A22" s="85">
        <v>30</v>
      </c>
      <c r="B22" s="134" t="s">
        <v>122</v>
      </c>
      <c r="C22" s="51">
        <v>450882177</v>
      </c>
      <c r="D22" s="51">
        <v>117480531.58</v>
      </c>
      <c r="E22" s="53">
        <f t="shared" si="0"/>
        <v>0.2605570536446376</v>
      </c>
      <c r="F22" s="52">
        <f t="shared" si="1"/>
        <v>1.3756825486441911E-2</v>
      </c>
      <c r="G22" s="51">
        <v>134564154.37</v>
      </c>
      <c r="H22" s="121">
        <f t="shared" si="2"/>
        <v>-0.1269552271924258</v>
      </c>
      <c r="I22" s="52">
        <f t="shared" si="3"/>
        <v>0</v>
      </c>
      <c r="J22" s="122">
        <f t="shared" si="4"/>
        <v>0</v>
      </c>
      <c r="K22" s="123">
        <f t="shared" si="5"/>
        <v>3.6030624769508558E-2</v>
      </c>
      <c r="L22" s="51">
        <f t="shared" si="6"/>
        <v>2174406.7259331369</v>
      </c>
      <c r="M22" s="51">
        <f t="shared" si="7"/>
        <v>0</v>
      </c>
      <c r="N22" s="51">
        <f t="shared" si="8"/>
        <v>2278003.247641861</v>
      </c>
      <c r="O22" s="124">
        <f t="shared" si="9"/>
        <v>4452409.9735749979</v>
      </c>
      <c r="P22" s="135">
        <f t="shared" si="10"/>
        <v>1.4084537697122666E-2</v>
      </c>
      <c r="R22" s="50"/>
      <c r="S22" s="50"/>
      <c r="T22" s="50"/>
      <c r="U22" s="50"/>
      <c r="V22" s="50"/>
      <c r="W22" s="50"/>
      <c r="X22" s="50"/>
    </row>
    <row r="23" spans="1:24">
      <c r="A23" s="85">
        <v>32</v>
      </c>
      <c r="B23" s="134" t="s">
        <v>11</v>
      </c>
      <c r="C23" s="51">
        <v>4812512</v>
      </c>
      <c r="D23" s="51">
        <v>3830972</v>
      </c>
      <c r="E23" s="53">
        <f t="shared" si="0"/>
        <v>0.79604414492888542</v>
      </c>
      <c r="F23" s="52">
        <f t="shared" si="1"/>
        <v>4.2029337636839401E-2</v>
      </c>
      <c r="G23" s="51">
        <v>3345298</v>
      </c>
      <c r="H23" s="121">
        <f t="shared" si="2"/>
        <v>0.1451810870062995</v>
      </c>
      <c r="I23" s="52">
        <f t="shared" si="3"/>
        <v>0.1451810870062995</v>
      </c>
      <c r="J23" s="122">
        <f t="shared" si="4"/>
        <v>1.0188989044079748E-2</v>
      </c>
      <c r="K23" s="123">
        <f t="shared" si="5"/>
        <v>1.1749377771626671E-3</v>
      </c>
      <c r="L23" s="51">
        <f t="shared" si="6"/>
        <v>6643165.9349118713</v>
      </c>
      <c r="M23" s="51">
        <f t="shared" si="7"/>
        <v>966284.24906927813</v>
      </c>
      <c r="N23" s="51">
        <f t="shared" si="8"/>
        <v>74284.364739040058</v>
      </c>
      <c r="O23" s="124">
        <f t="shared" si="9"/>
        <v>7683734.5487201894</v>
      </c>
      <c r="P23" s="135">
        <f t="shared" si="10"/>
        <v>2.4306353087076158E-2</v>
      </c>
      <c r="R23" s="50"/>
      <c r="S23" s="50"/>
      <c r="T23" s="50"/>
      <c r="U23" s="50"/>
      <c r="V23" s="50"/>
      <c r="W23" s="50"/>
      <c r="X23" s="50"/>
    </row>
    <row r="24" spans="1:24">
      <c r="A24" s="85">
        <v>33</v>
      </c>
      <c r="B24" s="134" t="s">
        <v>12</v>
      </c>
      <c r="C24" s="51">
        <v>645203784</v>
      </c>
      <c r="D24" s="51">
        <v>274113081.41000003</v>
      </c>
      <c r="E24" s="53">
        <f t="shared" si="0"/>
        <v>0.424847293533542</v>
      </c>
      <c r="F24" s="52">
        <f t="shared" si="1"/>
        <v>2.2430980062812751E-2</v>
      </c>
      <c r="G24" s="71">
        <v>203360245.22999999</v>
      </c>
      <c r="H24" s="121">
        <f t="shared" si="2"/>
        <v>0.3479187198067093</v>
      </c>
      <c r="I24" s="52">
        <f t="shared" si="3"/>
        <v>0.3479187198067093</v>
      </c>
      <c r="J24" s="122">
        <f t="shared" si="4"/>
        <v>2.441736797429403E-2</v>
      </c>
      <c r="K24" s="123">
        <f t="shared" si="5"/>
        <v>8.4068955493037972E-2</v>
      </c>
      <c r="L24" s="51">
        <f t="shared" si="6"/>
        <v>3545445.4202331495</v>
      </c>
      <c r="M24" s="51">
        <f t="shared" si="7"/>
        <v>2315648.5864510937</v>
      </c>
      <c r="N24" s="51">
        <f t="shared" si="8"/>
        <v>5315182.705381983</v>
      </c>
      <c r="O24" s="124">
        <f t="shared" si="9"/>
        <v>11176276.712066226</v>
      </c>
      <c r="P24" s="135">
        <f t="shared" si="10"/>
        <v>3.5354491522302176E-2</v>
      </c>
      <c r="R24" s="50"/>
      <c r="S24" s="50"/>
      <c r="T24" s="50"/>
      <c r="U24" s="50"/>
      <c r="V24" s="50"/>
      <c r="W24" s="50"/>
      <c r="X24" s="50"/>
    </row>
    <row r="25" spans="1:24">
      <c r="A25" s="85">
        <v>34</v>
      </c>
      <c r="B25" s="134" t="s">
        <v>123</v>
      </c>
      <c r="C25" s="51">
        <v>13386711</v>
      </c>
      <c r="D25" s="51">
        <v>4470670.41</v>
      </c>
      <c r="E25" s="53">
        <f t="shared" si="0"/>
        <v>0.33396331705375576</v>
      </c>
      <c r="F25" s="52">
        <f t="shared" si="1"/>
        <v>1.7632510835218912E-2</v>
      </c>
      <c r="G25" s="51">
        <v>4229569</v>
      </c>
      <c r="H25" s="121">
        <f t="shared" si="2"/>
        <v>5.7003777453447313E-2</v>
      </c>
      <c r="I25" s="52">
        <f t="shared" si="3"/>
        <v>5.7003777453447313E-2</v>
      </c>
      <c r="J25" s="122">
        <f t="shared" si="4"/>
        <v>4.0005959172845496E-3</v>
      </c>
      <c r="K25" s="123">
        <f t="shared" si="5"/>
        <v>1.3711297169366704E-3</v>
      </c>
      <c r="L25" s="51">
        <f t="shared" si="6"/>
        <v>2786998.3662273893</v>
      </c>
      <c r="M25" s="51">
        <f t="shared" si="7"/>
        <v>379401.01859360334</v>
      </c>
      <c r="N25" s="51">
        <f t="shared" si="8"/>
        <v>86688.420422930212</v>
      </c>
      <c r="O25" s="124">
        <f t="shared" si="9"/>
        <v>3253087.8052439229</v>
      </c>
      <c r="P25" s="135">
        <f t="shared" si="10"/>
        <v>1.0290660136182154E-2</v>
      </c>
      <c r="R25" s="50"/>
      <c r="S25" s="50"/>
      <c r="T25" s="50"/>
      <c r="U25" s="50"/>
      <c r="V25" s="50"/>
      <c r="W25" s="50"/>
      <c r="X25" s="50"/>
    </row>
    <row r="26" spans="1:24">
      <c r="A26" s="85">
        <v>35</v>
      </c>
      <c r="B26" s="134" t="s">
        <v>13</v>
      </c>
      <c r="C26" s="51">
        <v>1031929</v>
      </c>
      <c r="D26" s="51">
        <v>327583</v>
      </c>
      <c r="E26" s="53">
        <f t="shared" si="0"/>
        <v>0.31744722747398318</v>
      </c>
      <c r="F26" s="52">
        <f t="shared" si="1"/>
        <v>1.6760498510512273E-2</v>
      </c>
      <c r="G26" s="71">
        <v>325651</v>
      </c>
      <c r="H26" s="121">
        <f t="shared" si="2"/>
        <v>5.9327316667230345E-3</v>
      </c>
      <c r="I26" s="52">
        <f t="shared" si="3"/>
        <v>5.9327316667230345E-3</v>
      </c>
      <c r="J26" s="122">
        <f t="shared" si="4"/>
        <v>4.1636647858328183E-4</v>
      </c>
      <c r="K26" s="123">
        <f t="shared" si="5"/>
        <v>1.0046788174287831E-4</v>
      </c>
      <c r="L26" s="51">
        <f t="shared" si="6"/>
        <v>2649167.9150228277</v>
      </c>
      <c r="M26" s="51">
        <f t="shared" si="7"/>
        <v>39486.583836228252</v>
      </c>
      <c r="N26" s="51">
        <f t="shared" si="8"/>
        <v>6351.9897964038792</v>
      </c>
      <c r="O26" s="124">
        <f t="shared" si="9"/>
        <v>2695006.4886554596</v>
      </c>
      <c r="P26" s="135">
        <f t="shared" si="10"/>
        <v>8.525252775179697E-3</v>
      </c>
      <c r="R26" s="50"/>
      <c r="S26" s="50"/>
      <c r="T26" s="50"/>
      <c r="U26" s="50"/>
      <c r="V26" s="50"/>
      <c r="W26" s="50"/>
      <c r="X26" s="50"/>
    </row>
    <row r="27" spans="1:24">
      <c r="A27" s="85">
        <v>61</v>
      </c>
      <c r="B27" s="136" t="s">
        <v>14</v>
      </c>
      <c r="C27" s="51">
        <v>1797042</v>
      </c>
      <c r="D27" s="51">
        <v>324333</v>
      </c>
      <c r="E27" s="53">
        <f t="shared" si="0"/>
        <v>0.18048159141522568</v>
      </c>
      <c r="F27" s="52">
        <f t="shared" si="1"/>
        <v>9.5290214633791046E-3</v>
      </c>
      <c r="G27" s="51">
        <v>297973</v>
      </c>
      <c r="H27" s="121">
        <f t="shared" si="2"/>
        <v>8.8464391068989512E-2</v>
      </c>
      <c r="I27" s="52">
        <f t="shared" si="3"/>
        <v>8.8464391068989512E-2</v>
      </c>
      <c r="J27" s="122">
        <f t="shared" si="4"/>
        <v>6.2085408642381197E-3</v>
      </c>
      <c r="K27" s="123">
        <f t="shared" si="5"/>
        <v>9.9471124842598522E-5</v>
      </c>
      <c r="L27" s="51">
        <f t="shared" si="6"/>
        <v>1506159.134020664</v>
      </c>
      <c r="M27" s="51">
        <f t="shared" si="7"/>
        <v>588793.96384296508</v>
      </c>
      <c r="N27" s="51">
        <f t="shared" si="8"/>
        <v>6288.97075439525</v>
      </c>
      <c r="O27" s="124">
        <f t="shared" si="9"/>
        <v>2101242.0686180242</v>
      </c>
      <c r="P27" s="135">
        <f t="shared" si="10"/>
        <v>6.6469672159295071E-3</v>
      </c>
      <c r="R27" s="50"/>
      <c r="S27" s="50"/>
      <c r="T27" s="50"/>
      <c r="U27" s="50"/>
      <c r="V27" s="50"/>
      <c r="W27" s="50"/>
      <c r="X27" s="50"/>
    </row>
    <row r="28" spans="1:24">
      <c r="A28" s="85">
        <v>36</v>
      </c>
      <c r="B28" s="136" t="s">
        <v>15</v>
      </c>
      <c r="C28" s="51">
        <v>72093803</v>
      </c>
      <c r="D28" s="51">
        <v>17981384</v>
      </c>
      <c r="E28" s="53">
        <f t="shared" si="0"/>
        <v>0.2494164997787674</v>
      </c>
      <c r="F28" s="52">
        <f t="shared" si="1"/>
        <v>1.3168629338184475E-2</v>
      </c>
      <c r="G28" s="51">
        <v>15809295</v>
      </c>
      <c r="H28" s="121">
        <f t="shared" si="2"/>
        <v>0.13739316016305603</v>
      </c>
      <c r="I28" s="52">
        <f t="shared" si="3"/>
        <v>0.13739316016305603</v>
      </c>
      <c r="J28" s="122">
        <f t="shared" si="4"/>
        <v>9.6424226633055124E-3</v>
      </c>
      <c r="K28" s="123">
        <f t="shared" si="5"/>
        <v>5.514790331870959E-3</v>
      </c>
      <c r="L28" s="51">
        <f t="shared" si="6"/>
        <v>2081436.3191921753</v>
      </c>
      <c r="M28" s="51">
        <f t="shared" si="7"/>
        <v>914450.01090020116</v>
      </c>
      <c r="N28" s="51">
        <f t="shared" si="8"/>
        <v>348667.5672828565</v>
      </c>
      <c r="O28" s="124">
        <f t="shared" si="9"/>
        <v>3344553.897375233</v>
      </c>
      <c r="P28" s="135">
        <f t="shared" si="10"/>
        <v>1.0579999534458083E-2</v>
      </c>
      <c r="R28" s="50"/>
      <c r="S28" s="50"/>
      <c r="T28" s="50"/>
      <c r="U28" s="50"/>
      <c r="V28" s="50"/>
      <c r="W28" s="50"/>
      <c r="X28" s="50"/>
    </row>
    <row r="29" spans="1:24">
      <c r="A29" s="85">
        <v>28</v>
      </c>
      <c r="B29" s="136" t="s">
        <v>16</v>
      </c>
      <c r="C29" s="51">
        <v>966516089</v>
      </c>
      <c r="D29" s="51">
        <v>379311777.88999999</v>
      </c>
      <c r="E29" s="53">
        <f t="shared" si="0"/>
        <v>0.39245262671462883</v>
      </c>
      <c r="F29" s="52">
        <f t="shared" si="1"/>
        <v>2.0720614628887409E-2</v>
      </c>
      <c r="G29" s="51">
        <v>368526134.63999999</v>
      </c>
      <c r="H29" s="121">
        <f t="shared" si="2"/>
        <v>2.9266969791806208E-2</v>
      </c>
      <c r="I29" s="52">
        <f t="shared" si="3"/>
        <v>2.9266969791806208E-2</v>
      </c>
      <c r="J29" s="122">
        <f t="shared" si="4"/>
        <v>2.0539922982474104E-3</v>
      </c>
      <c r="K29" s="123">
        <f t="shared" si="5"/>
        <v>0.11633280983669313</v>
      </c>
      <c r="L29" s="51">
        <f t="shared" si="6"/>
        <v>3275104.7004939835</v>
      </c>
      <c r="M29" s="51">
        <f t="shared" si="7"/>
        <v>194792.67245451614</v>
      </c>
      <c r="N29" s="51">
        <f t="shared" si="8"/>
        <v>7355035.343143858</v>
      </c>
      <c r="O29" s="124">
        <f t="shared" si="9"/>
        <v>10824932.716092357</v>
      </c>
      <c r="P29" s="135">
        <f t="shared" si="10"/>
        <v>3.424306697125655E-2</v>
      </c>
      <c r="R29" s="50"/>
      <c r="S29" s="50"/>
      <c r="T29" s="50"/>
      <c r="U29" s="50"/>
      <c r="V29" s="50"/>
      <c r="W29" s="50"/>
      <c r="X29" s="50"/>
    </row>
    <row r="30" spans="1:24">
      <c r="A30" s="85">
        <v>37</v>
      </c>
      <c r="B30" s="136" t="s">
        <v>124</v>
      </c>
      <c r="C30" s="51">
        <v>1253092</v>
      </c>
      <c r="D30" s="51">
        <v>339843</v>
      </c>
      <c r="E30" s="53">
        <f t="shared" si="0"/>
        <v>0.27120355089650239</v>
      </c>
      <c r="F30" s="52">
        <f t="shared" si="1"/>
        <v>1.4318936558420568E-2</v>
      </c>
      <c r="G30" s="51">
        <v>282213.3</v>
      </c>
      <c r="H30" s="121">
        <f t="shared" si="2"/>
        <v>0.20420618021900472</v>
      </c>
      <c r="I30" s="52">
        <f t="shared" si="3"/>
        <v>0.20420618021900472</v>
      </c>
      <c r="J30" s="122">
        <f t="shared" si="4"/>
        <v>1.4331443412422807E-2</v>
      </c>
      <c r="K30" s="123">
        <f t="shared" si="5"/>
        <v>1.0422795546516454E-4</v>
      </c>
      <c r="L30" s="51">
        <f t="shared" si="6"/>
        <v>2263254.120038447</v>
      </c>
      <c r="M30" s="51">
        <f t="shared" si="7"/>
        <v>1359138.5736054224</v>
      </c>
      <c r="N30" s="51">
        <f t="shared" si="8"/>
        <v>6589.7170133348909</v>
      </c>
      <c r="O30" s="124">
        <f t="shared" si="9"/>
        <v>3628982.4106572042</v>
      </c>
      <c r="P30" s="135">
        <f t="shared" si="10"/>
        <v>1.1479746894030158E-2</v>
      </c>
      <c r="R30" s="50"/>
      <c r="S30" s="50"/>
      <c r="T30" s="50"/>
      <c r="U30" s="50"/>
      <c r="V30" s="50"/>
      <c r="W30" s="50"/>
      <c r="X30" s="50"/>
    </row>
    <row r="31" spans="1:24">
      <c r="A31" s="85">
        <v>39</v>
      </c>
      <c r="B31" s="136" t="s">
        <v>17</v>
      </c>
      <c r="C31" s="51">
        <v>2610702</v>
      </c>
      <c r="D31" s="51">
        <v>556291</v>
      </c>
      <c r="E31" s="53">
        <f t="shared" si="0"/>
        <v>0.21308100273413053</v>
      </c>
      <c r="F31" s="52">
        <f t="shared" si="1"/>
        <v>1.125019694568462E-2</v>
      </c>
      <c r="G31" s="51">
        <v>522470</v>
      </c>
      <c r="H31" s="121">
        <f t="shared" si="2"/>
        <v>6.4732903324592694E-2</v>
      </c>
      <c r="I31" s="52">
        <f t="shared" si="3"/>
        <v>6.4732903324592694E-2</v>
      </c>
      <c r="J31" s="122">
        <f t="shared" si="4"/>
        <v>4.5430355727886897E-3</v>
      </c>
      <c r="K31" s="123">
        <f t="shared" si="5"/>
        <v>1.7061135163493686E-4</v>
      </c>
      <c r="L31" s="51">
        <f t="shared" si="6"/>
        <v>1778208.4922773922</v>
      </c>
      <c r="M31" s="51">
        <f t="shared" si="7"/>
        <v>430843.89412488783</v>
      </c>
      <c r="N31" s="51">
        <f t="shared" si="8"/>
        <v>10786.746430160632</v>
      </c>
      <c r="O31" s="124">
        <f t="shared" si="9"/>
        <v>2219839.1328324405</v>
      </c>
      <c r="P31" s="135">
        <f t="shared" si="10"/>
        <v>7.0221314150059038E-3</v>
      </c>
      <c r="R31" s="50"/>
      <c r="S31" s="50"/>
      <c r="T31" s="50"/>
      <c r="U31" s="50"/>
      <c r="V31" s="50"/>
      <c r="W31" s="50"/>
      <c r="X31" s="50"/>
    </row>
    <row r="32" spans="1:24">
      <c r="A32" s="85">
        <v>38</v>
      </c>
      <c r="B32" s="136" t="s">
        <v>18</v>
      </c>
      <c r="C32" s="51">
        <v>822982</v>
      </c>
      <c r="D32" s="51">
        <v>288254</v>
      </c>
      <c r="E32" s="53">
        <f t="shared" si="0"/>
        <v>0.35025553414290955</v>
      </c>
      <c r="F32" s="52">
        <f t="shared" si="1"/>
        <v>1.8492703196729091E-2</v>
      </c>
      <c r="G32" s="51">
        <v>349348</v>
      </c>
      <c r="H32" s="121">
        <f t="shared" si="2"/>
        <v>-0.17488006228746122</v>
      </c>
      <c r="I32" s="52">
        <f t="shared" si="3"/>
        <v>0</v>
      </c>
      <c r="J32" s="122">
        <f t="shared" si="4"/>
        <v>0</v>
      </c>
      <c r="K32" s="123">
        <f t="shared" si="5"/>
        <v>8.8405896471769436E-5</v>
      </c>
      <c r="L32" s="51">
        <f t="shared" si="6"/>
        <v>2922960.5515664001</v>
      </c>
      <c r="M32" s="51">
        <f t="shared" si="7"/>
        <v>0</v>
      </c>
      <c r="N32" s="51">
        <f t="shared" si="8"/>
        <v>5589.3818262016157</v>
      </c>
      <c r="O32" s="124">
        <f t="shared" si="9"/>
        <v>2928549.9333926016</v>
      </c>
      <c r="P32" s="135">
        <f t="shared" si="10"/>
        <v>9.2640327776588993E-3</v>
      </c>
      <c r="R32" s="50"/>
      <c r="S32" s="50"/>
      <c r="T32" s="50"/>
      <c r="U32" s="50"/>
      <c r="V32" s="50"/>
      <c r="W32" s="50"/>
      <c r="X32" s="50"/>
    </row>
    <row r="33" spans="1:24">
      <c r="A33" s="85">
        <v>40</v>
      </c>
      <c r="B33" s="136" t="s">
        <v>19</v>
      </c>
      <c r="C33" s="51">
        <v>2424784</v>
      </c>
      <c r="D33" s="51">
        <v>717552</v>
      </c>
      <c r="E33" s="53">
        <f t="shared" si="0"/>
        <v>0.29592409055816932</v>
      </c>
      <c r="F33" s="52">
        <f t="shared" si="1"/>
        <v>1.5624125365629113E-2</v>
      </c>
      <c r="G33" s="51">
        <v>687297</v>
      </c>
      <c r="H33" s="121">
        <f t="shared" si="2"/>
        <v>4.4020270712661347E-2</v>
      </c>
      <c r="I33" s="52">
        <f t="shared" si="3"/>
        <v>4.4020270712661347E-2</v>
      </c>
      <c r="J33" s="122">
        <f t="shared" si="4"/>
        <v>3.0893972848492954E-3</v>
      </c>
      <c r="K33" s="123">
        <f t="shared" si="5"/>
        <v>2.2006920224909663E-4</v>
      </c>
      <c r="L33" s="51">
        <f t="shared" si="6"/>
        <v>2469552.5370536167</v>
      </c>
      <c r="M33" s="51">
        <f t="shared" si="7"/>
        <v>292986.47025259311</v>
      </c>
      <c r="N33" s="51">
        <f t="shared" si="8"/>
        <v>13913.673732730931</v>
      </c>
      <c r="O33" s="124">
        <f t="shared" si="9"/>
        <v>2776452.6810389408</v>
      </c>
      <c r="P33" s="135">
        <f t="shared" si="10"/>
        <v>8.7828957087191638E-3</v>
      </c>
      <c r="R33" s="50"/>
      <c r="S33" s="50"/>
      <c r="T33" s="50"/>
      <c r="U33" s="50"/>
      <c r="V33" s="50"/>
      <c r="W33" s="50"/>
      <c r="X33" s="50"/>
    </row>
    <row r="34" spans="1:24">
      <c r="A34" s="85">
        <v>41</v>
      </c>
      <c r="B34" s="136" t="s">
        <v>20</v>
      </c>
      <c r="C34" s="51">
        <v>704439</v>
      </c>
      <c r="D34" s="51">
        <v>133111</v>
      </c>
      <c r="E34" s="53">
        <f t="shared" si="0"/>
        <v>0.18896029322624103</v>
      </c>
      <c r="F34" s="52">
        <f t="shared" si="1"/>
        <v>9.9766778193831809E-3</v>
      </c>
      <c r="G34" s="51">
        <v>124942</v>
      </c>
      <c r="H34" s="121">
        <f t="shared" si="2"/>
        <v>6.5382337404555679E-2</v>
      </c>
      <c r="I34" s="52">
        <f t="shared" si="3"/>
        <v>6.5382337404555679E-2</v>
      </c>
      <c r="J34" s="122">
        <f t="shared" si="4"/>
        <v>4.5886136633102714E-3</v>
      </c>
      <c r="K34" s="123">
        <f t="shared" si="5"/>
        <v>4.082440238558251E-5</v>
      </c>
      <c r="L34" s="51">
        <f t="shared" si="6"/>
        <v>1576915.7916784433</v>
      </c>
      <c r="M34" s="51">
        <f t="shared" si="7"/>
        <v>435166.34366165008</v>
      </c>
      <c r="N34" s="51">
        <f t="shared" si="8"/>
        <v>2581.0854464032527</v>
      </c>
      <c r="O34" s="124">
        <f t="shared" si="9"/>
        <v>2014663.2207864968</v>
      </c>
      <c r="P34" s="135">
        <f t="shared" si="10"/>
        <v>6.3730878891617888E-3</v>
      </c>
      <c r="R34" s="50"/>
      <c r="S34" s="50"/>
      <c r="T34" s="50"/>
      <c r="U34" s="50"/>
      <c r="V34" s="50"/>
      <c r="W34" s="50"/>
      <c r="X34" s="50"/>
    </row>
    <row r="35" spans="1:24">
      <c r="A35" s="85">
        <v>42</v>
      </c>
      <c r="B35" s="136" t="s">
        <v>125</v>
      </c>
      <c r="C35" s="51">
        <v>741100764</v>
      </c>
      <c r="D35" s="51">
        <v>161250557.63999999</v>
      </c>
      <c r="E35" s="53">
        <f t="shared" si="0"/>
        <v>0.21758250088647862</v>
      </c>
      <c r="F35" s="52">
        <f t="shared" si="1"/>
        <v>1.1487865907791675E-2</v>
      </c>
      <c r="G35" s="51">
        <v>129597156.58</v>
      </c>
      <c r="H35" s="121">
        <f t="shared" si="2"/>
        <v>0.24424456442808151</v>
      </c>
      <c r="I35" s="52">
        <f t="shared" si="3"/>
        <v>0.24424456442808151</v>
      </c>
      <c r="J35" s="122">
        <f t="shared" si="4"/>
        <v>1.7141386955766284E-2</v>
      </c>
      <c r="K35" s="123">
        <f t="shared" si="5"/>
        <v>4.9454648000502782E-2</v>
      </c>
      <c r="L35" s="51">
        <f t="shared" si="6"/>
        <v>1815774.498349102</v>
      </c>
      <c r="M35" s="51">
        <f t="shared" si="7"/>
        <v>1625622.7336099294</v>
      </c>
      <c r="N35" s="51">
        <f t="shared" si="8"/>
        <v>3126724.8202553722</v>
      </c>
      <c r="O35" s="124">
        <f t="shared" si="9"/>
        <v>6568122.0522144036</v>
      </c>
      <c r="P35" s="135">
        <f t="shared" si="10"/>
        <v>2.0777278640726281E-2</v>
      </c>
      <c r="R35" s="50"/>
      <c r="S35" s="50"/>
      <c r="T35" s="50"/>
      <c r="U35" s="50"/>
      <c r="V35" s="50"/>
      <c r="W35" s="50"/>
      <c r="X35" s="50"/>
    </row>
    <row r="36" spans="1:24">
      <c r="A36" s="85">
        <v>43</v>
      </c>
      <c r="B36" s="136" t="s">
        <v>21</v>
      </c>
      <c r="C36" s="51">
        <v>5426542</v>
      </c>
      <c r="D36" s="51">
        <v>4617912</v>
      </c>
      <c r="E36" s="53">
        <f t="shared" si="0"/>
        <v>0.85098613444805182</v>
      </c>
      <c r="F36" s="52">
        <f t="shared" si="1"/>
        <v>4.4930150917925751E-2</v>
      </c>
      <c r="G36" s="51">
        <v>4000421</v>
      </c>
      <c r="H36" s="121">
        <f t="shared" si="2"/>
        <v>0.15435650397795642</v>
      </c>
      <c r="I36" s="52">
        <f t="shared" si="3"/>
        <v>0.15435650397795642</v>
      </c>
      <c r="J36" s="122">
        <f t="shared" si="4"/>
        <v>1.0832931205740371E-2</v>
      </c>
      <c r="K36" s="123">
        <f t="shared" si="5"/>
        <v>1.4162878925799529E-3</v>
      </c>
      <c r="L36" s="51">
        <f t="shared" si="6"/>
        <v>7101669.0914203804</v>
      </c>
      <c r="M36" s="51">
        <f t="shared" si="7"/>
        <v>1027353.2290664475</v>
      </c>
      <c r="N36" s="51">
        <f t="shared" si="8"/>
        <v>89543.504713892456</v>
      </c>
      <c r="O36" s="124">
        <f t="shared" si="9"/>
        <v>8218565.8252007198</v>
      </c>
      <c r="P36" s="135">
        <f t="shared" si="10"/>
        <v>2.5998212399200974E-2</v>
      </c>
      <c r="R36" s="50"/>
      <c r="S36" s="50"/>
      <c r="T36" s="50"/>
      <c r="U36" s="50"/>
      <c r="V36" s="50"/>
      <c r="W36" s="50"/>
      <c r="X36" s="50"/>
    </row>
    <row r="37" spans="1:24">
      <c r="A37" s="85">
        <v>44</v>
      </c>
      <c r="B37" s="136" t="s">
        <v>22</v>
      </c>
      <c r="C37" s="51">
        <v>41336114</v>
      </c>
      <c r="D37" s="51">
        <v>11785569</v>
      </c>
      <c r="E37" s="53">
        <f t="shared" ref="E37:E55" si="11">IFERROR(D37/C37,0)</f>
        <v>0.2851155529520748</v>
      </c>
      <c r="F37" s="52">
        <f t="shared" ref="F37:F55" si="12">IFERROR(E37/$E$56,0)</f>
        <v>1.5053458927968668E-2</v>
      </c>
      <c r="G37" s="51">
        <v>11577447</v>
      </c>
      <c r="H37" s="121">
        <f t="shared" ref="H37:H55" si="13">IFERROR((D37/G37)-1,0)</f>
        <v>1.7976502073384637E-2</v>
      </c>
      <c r="I37" s="52">
        <f t="shared" ref="I37:I55" si="14">IF(H37&lt;0,0,H37)</f>
        <v>1.7976502073384637E-2</v>
      </c>
      <c r="J37" s="122">
        <f t="shared" ref="J37:J55" si="15">IFERROR(I37/$I$56,0)</f>
        <v>1.2616132476583909E-3</v>
      </c>
      <c r="K37" s="123">
        <f t="shared" ref="K37:K55" si="16">IFERROR(D37/$D$56,0)</f>
        <v>3.6145683767611039E-3</v>
      </c>
      <c r="L37" s="51">
        <f t="shared" ref="L37:L55" si="17">IFERROR($L$3*F37,0)</f>
        <v>2379352.8800516352</v>
      </c>
      <c r="M37" s="51">
        <f t="shared" ref="M37:M55" si="18">IFERROR($M$3*J37,0)</f>
        <v>119646.51295191832</v>
      </c>
      <c r="N37" s="51">
        <f t="shared" ref="N37:N55" si="19">IFERROR($N$3*K37,0)</f>
        <v>228527.77474048981</v>
      </c>
      <c r="O37" s="124">
        <f t="shared" ref="O37:O55" si="20">IFERROR(SUM(L37:N37),0)</f>
        <v>2727527.1677440433</v>
      </c>
      <c r="P37" s="135">
        <f t="shared" ref="P37:P55" si="21">IFERROR(O37/$O$56,0)</f>
        <v>8.6281271136340702E-3</v>
      </c>
      <c r="R37" s="50"/>
      <c r="S37" s="50"/>
      <c r="T37" s="50"/>
      <c r="U37" s="50"/>
      <c r="V37" s="50"/>
      <c r="W37" s="50"/>
      <c r="X37" s="50"/>
    </row>
    <row r="38" spans="1:24">
      <c r="A38" s="85">
        <v>46</v>
      </c>
      <c r="B38" s="136" t="s">
        <v>126</v>
      </c>
      <c r="C38" s="51">
        <v>2793283</v>
      </c>
      <c r="D38" s="51">
        <v>1410108</v>
      </c>
      <c r="E38" s="53">
        <f t="shared" si="11"/>
        <v>0.50482102959134467</v>
      </c>
      <c r="F38" s="52">
        <f t="shared" si="12"/>
        <v>2.665341317316889E-2</v>
      </c>
      <c r="G38" s="51">
        <v>1151227</v>
      </c>
      <c r="H38" s="121">
        <f t="shared" si="13"/>
        <v>0.22487398228151356</v>
      </c>
      <c r="I38" s="52">
        <f t="shared" si="14"/>
        <v>0.22487398228151356</v>
      </c>
      <c r="J38" s="122">
        <f t="shared" si="15"/>
        <v>1.578193543671089E-2</v>
      </c>
      <c r="K38" s="123">
        <f t="shared" si="16"/>
        <v>4.3247227050453369E-4</v>
      </c>
      <c r="L38" s="51">
        <f t="shared" si="17"/>
        <v>4212844.0845550755</v>
      </c>
      <c r="M38" s="51">
        <f t="shared" si="18"/>
        <v>1496697.6180215681</v>
      </c>
      <c r="N38" s="51">
        <f t="shared" si="19"/>
        <v>27342.663165754882</v>
      </c>
      <c r="O38" s="124">
        <f t="shared" si="20"/>
        <v>5736884.3657423984</v>
      </c>
      <c r="P38" s="135">
        <f t="shared" si="21"/>
        <v>1.8147781671698619E-2</v>
      </c>
      <c r="R38" s="50"/>
      <c r="S38" s="50"/>
      <c r="T38" s="50"/>
      <c r="U38" s="50"/>
      <c r="V38" s="50"/>
      <c r="W38" s="50"/>
      <c r="X38" s="50"/>
    </row>
    <row r="39" spans="1:24">
      <c r="A39" s="85">
        <v>49</v>
      </c>
      <c r="B39" s="136" t="s">
        <v>23</v>
      </c>
      <c r="C39" s="51">
        <v>840830</v>
      </c>
      <c r="D39" s="51">
        <v>317729</v>
      </c>
      <c r="E39" s="53">
        <f t="shared" si="11"/>
        <v>0.37787543260825612</v>
      </c>
      <c r="F39" s="52">
        <f t="shared" si="12"/>
        <v>1.9950971617507411E-2</v>
      </c>
      <c r="G39" s="51">
        <v>284653</v>
      </c>
      <c r="H39" s="121">
        <f t="shared" si="13"/>
        <v>0.11619761604479839</v>
      </c>
      <c r="I39" s="52">
        <f t="shared" si="14"/>
        <v>0.11619761604479839</v>
      </c>
      <c r="J39" s="122">
        <f t="shared" si="15"/>
        <v>8.1548930459327939E-3</v>
      </c>
      <c r="K39" s="123">
        <f t="shared" si="16"/>
        <v>9.7445714821229985E-5</v>
      </c>
      <c r="L39" s="51">
        <f t="shared" si="17"/>
        <v>3153454.7644559462</v>
      </c>
      <c r="M39" s="51">
        <f t="shared" si="18"/>
        <v>773378.46463855449</v>
      </c>
      <c r="N39" s="51">
        <f t="shared" si="19"/>
        <v>6160.9160610337167</v>
      </c>
      <c r="O39" s="124">
        <f t="shared" si="20"/>
        <v>3932994.1451555341</v>
      </c>
      <c r="P39" s="135">
        <f t="shared" si="21"/>
        <v>1.244144286549779E-2</v>
      </c>
      <c r="R39" s="50"/>
      <c r="S39" s="50"/>
      <c r="T39" s="50"/>
      <c r="U39" s="50"/>
      <c r="V39" s="50"/>
      <c r="W39" s="50"/>
      <c r="X39" s="50"/>
    </row>
    <row r="40" spans="1:24">
      <c r="A40" s="85">
        <v>48</v>
      </c>
      <c r="B40" s="136" t="s">
        <v>24</v>
      </c>
      <c r="C40" s="51">
        <v>1005568</v>
      </c>
      <c r="D40" s="51">
        <v>96351</v>
      </c>
      <c r="E40" s="53">
        <f t="shared" si="11"/>
        <v>9.5817488225560077E-2</v>
      </c>
      <c r="F40" s="52">
        <f t="shared" si="12"/>
        <v>5.0589475342547909E-3</v>
      </c>
      <c r="G40" s="51">
        <v>97877</v>
      </c>
      <c r="H40" s="121">
        <f t="shared" si="13"/>
        <v>-1.5590996863410145E-2</v>
      </c>
      <c r="I40" s="52">
        <f t="shared" si="14"/>
        <v>0</v>
      </c>
      <c r="J40" s="122">
        <f t="shared" si="15"/>
        <v>0</v>
      </c>
      <c r="K40" s="123">
        <f t="shared" si="16"/>
        <v>2.9550315107340943E-5</v>
      </c>
      <c r="L40" s="51">
        <f t="shared" si="17"/>
        <v>799618.30986863736</v>
      </c>
      <c r="M40" s="51">
        <f t="shared" si="18"/>
        <v>0</v>
      </c>
      <c r="N40" s="51">
        <f t="shared" si="19"/>
        <v>1868.291605099502</v>
      </c>
      <c r="O40" s="124">
        <f t="shared" si="20"/>
        <v>801486.60147373681</v>
      </c>
      <c r="P40" s="135">
        <f t="shared" si="21"/>
        <v>2.5353838301488633E-3</v>
      </c>
      <c r="R40" s="50"/>
      <c r="S40" s="50"/>
      <c r="T40" s="50"/>
      <c r="U40" s="50"/>
      <c r="V40" s="50"/>
      <c r="W40" s="50"/>
      <c r="X40" s="50"/>
    </row>
    <row r="41" spans="1:24">
      <c r="A41" s="85">
        <v>47</v>
      </c>
      <c r="B41" s="136" t="s">
        <v>25</v>
      </c>
      <c r="C41" s="51">
        <v>5289405</v>
      </c>
      <c r="D41" s="51">
        <v>1093658</v>
      </c>
      <c r="E41" s="53">
        <f t="shared" si="11"/>
        <v>0.20676389877500401</v>
      </c>
      <c r="F41" s="52">
        <f t="shared" si="12"/>
        <v>1.0916668086919051E-2</v>
      </c>
      <c r="G41" s="71">
        <v>865595</v>
      </c>
      <c r="H41" s="121">
        <f t="shared" si="13"/>
        <v>0.26347541286629439</v>
      </c>
      <c r="I41" s="52">
        <f t="shared" si="14"/>
        <v>0.26347541286629439</v>
      </c>
      <c r="J41" s="122">
        <f t="shared" si="15"/>
        <v>1.8491031789578605E-2</v>
      </c>
      <c r="K41" s="123">
        <f t="shared" si="16"/>
        <v>3.3541881786036763E-4</v>
      </c>
      <c r="L41" s="51">
        <f t="shared" si="17"/>
        <v>1725490.8508049895</v>
      </c>
      <c r="M41" s="51">
        <f t="shared" si="18"/>
        <v>1753617.8211606746</v>
      </c>
      <c r="N41" s="51">
        <f t="shared" si="19"/>
        <v>21206.547521560868</v>
      </c>
      <c r="O41" s="124">
        <f t="shared" si="20"/>
        <v>3500315.2194872252</v>
      </c>
      <c r="P41" s="135">
        <f t="shared" si="21"/>
        <v>1.1072727343905181E-2</v>
      </c>
      <c r="R41" s="50"/>
      <c r="S41" s="50"/>
      <c r="T41" s="50"/>
      <c r="U41" s="50"/>
      <c r="V41" s="50"/>
      <c r="W41" s="50"/>
      <c r="X41" s="50"/>
    </row>
    <row r="42" spans="1:24">
      <c r="A42" s="85">
        <v>45</v>
      </c>
      <c r="B42" s="136" t="s">
        <v>26</v>
      </c>
      <c r="C42" s="51">
        <v>92991873</v>
      </c>
      <c r="D42" s="51">
        <v>28068740.920000002</v>
      </c>
      <c r="E42" s="53">
        <f t="shared" si="11"/>
        <v>0.30184079548542914</v>
      </c>
      <c r="F42" s="52">
        <f t="shared" si="12"/>
        <v>1.5936514057474298E-2</v>
      </c>
      <c r="G42" s="51">
        <v>24377478</v>
      </c>
      <c r="H42" s="121">
        <f t="shared" si="13"/>
        <v>0.15142103379192884</v>
      </c>
      <c r="I42" s="52">
        <f t="shared" si="14"/>
        <v>0.15142103379192884</v>
      </c>
      <c r="J42" s="122">
        <f t="shared" si="15"/>
        <v>1.0626916261360185E-2</v>
      </c>
      <c r="K42" s="123">
        <f t="shared" si="16"/>
        <v>8.608526521284833E-3</v>
      </c>
      <c r="L42" s="51">
        <f t="shared" si="17"/>
        <v>2518928.7593022068</v>
      </c>
      <c r="M42" s="51">
        <f t="shared" si="18"/>
        <v>1007815.5698378192</v>
      </c>
      <c r="N42" s="51">
        <f t="shared" si="19"/>
        <v>544266.20405132149</v>
      </c>
      <c r="O42" s="124">
        <f t="shared" si="20"/>
        <v>4071010.5331913475</v>
      </c>
      <c r="P42" s="135">
        <f t="shared" si="21"/>
        <v>1.2878037211402172E-2</v>
      </c>
      <c r="R42" s="50"/>
      <c r="S42" s="50"/>
      <c r="T42" s="50"/>
      <c r="U42" s="50"/>
      <c r="V42" s="50"/>
      <c r="W42" s="50"/>
      <c r="X42" s="50"/>
    </row>
    <row r="43" spans="1:24">
      <c r="A43" s="85">
        <v>70</v>
      </c>
      <c r="B43" s="136" t="s">
        <v>27</v>
      </c>
      <c r="C43" s="51"/>
      <c r="D43" s="51"/>
      <c r="E43" s="53">
        <f t="shared" si="11"/>
        <v>0</v>
      </c>
      <c r="F43" s="52">
        <f t="shared" si="12"/>
        <v>0</v>
      </c>
      <c r="G43" s="51"/>
      <c r="H43" s="121">
        <f t="shared" si="13"/>
        <v>0</v>
      </c>
      <c r="I43" s="52">
        <f t="shared" si="14"/>
        <v>0</v>
      </c>
      <c r="J43" s="122">
        <f t="shared" si="15"/>
        <v>0</v>
      </c>
      <c r="K43" s="123">
        <f t="shared" si="16"/>
        <v>0</v>
      </c>
      <c r="L43" s="51">
        <f t="shared" si="17"/>
        <v>0</v>
      </c>
      <c r="M43" s="51">
        <f t="shared" si="18"/>
        <v>0</v>
      </c>
      <c r="N43" s="51">
        <f t="shared" si="19"/>
        <v>0</v>
      </c>
      <c r="O43" s="124">
        <f t="shared" si="20"/>
        <v>0</v>
      </c>
      <c r="P43" s="135">
        <f t="shared" si="21"/>
        <v>0</v>
      </c>
      <c r="R43" s="50"/>
      <c r="S43" s="50"/>
      <c r="T43" s="50"/>
      <c r="U43" s="50"/>
      <c r="V43" s="50"/>
      <c r="W43" s="50"/>
      <c r="X43" s="50"/>
    </row>
    <row r="44" spans="1:24">
      <c r="A44" s="85">
        <v>50</v>
      </c>
      <c r="B44" s="136" t="s">
        <v>127</v>
      </c>
      <c r="C44" s="51">
        <v>1541986</v>
      </c>
      <c r="D44" s="51">
        <v>568300</v>
      </c>
      <c r="E44" s="53">
        <f t="shared" si="11"/>
        <v>0.36855068723062334</v>
      </c>
      <c r="F44" s="52">
        <f t="shared" si="12"/>
        <v>1.9458646067032948E-2</v>
      </c>
      <c r="G44" s="51">
        <v>392216</v>
      </c>
      <c r="H44" s="121">
        <f t="shared" si="13"/>
        <v>0.44894649886797078</v>
      </c>
      <c r="I44" s="52">
        <f t="shared" si="14"/>
        <v>0.44894649886797078</v>
      </c>
      <c r="J44" s="122">
        <f t="shared" si="15"/>
        <v>3.1507623015284578E-2</v>
      </c>
      <c r="K44" s="123">
        <f t="shared" si="16"/>
        <v>1.742944450550784E-4</v>
      </c>
      <c r="L44" s="51">
        <f t="shared" si="17"/>
        <v>3075637.6845376571</v>
      </c>
      <c r="M44" s="51">
        <f t="shared" si="18"/>
        <v>2988060.9070801032</v>
      </c>
      <c r="N44" s="51">
        <f t="shared" si="19"/>
        <v>11019.606638001131</v>
      </c>
      <c r="O44" s="124">
        <f t="shared" si="20"/>
        <v>6074718.1982557615</v>
      </c>
      <c r="P44" s="135">
        <f t="shared" si="21"/>
        <v>1.9216468827112865E-2</v>
      </c>
      <c r="R44" s="50"/>
      <c r="S44" s="50"/>
      <c r="T44" s="50"/>
      <c r="U44" s="50"/>
      <c r="V44" s="50"/>
      <c r="W44" s="50"/>
      <c r="X44" s="50"/>
    </row>
    <row r="45" spans="1:24">
      <c r="A45" s="85">
        <v>51</v>
      </c>
      <c r="B45" s="136" t="s">
        <v>128</v>
      </c>
      <c r="C45" s="51">
        <v>136552194</v>
      </c>
      <c r="D45" s="51">
        <v>39549681.400000006</v>
      </c>
      <c r="E45" s="53">
        <f t="shared" si="11"/>
        <v>0.28963050860977019</v>
      </c>
      <c r="F45" s="52">
        <f t="shared" si="12"/>
        <v>1.52918384160429E-2</v>
      </c>
      <c r="G45" s="51">
        <v>36526514</v>
      </c>
      <c r="H45" s="121">
        <f t="shared" si="13"/>
        <v>8.2766381702891412E-2</v>
      </c>
      <c r="I45" s="52">
        <f t="shared" si="14"/>
        <v>8.2766381702891412E-2</v>
      </c>
      <c r="J45" s="122">
        <f t="shared" si="15"/>
        <v>5.8086474883074233E-3</v>
      </c>
      <c r="K45" s="123">
        <f t="shared" si="16"/>
        <v>1.2129667027482241E-2</v>
      </c>
      <c r="L45" s="51">
        <f t="shared" si="17"/>
        <v>2417031.1920069591</v>
      </c>
      <c r="M45" s="51">
        <f t="shared" si="18"/>
        <v>550869.62524594867</v>
      </c>
      <c r="N45" s="51">
        <f t="shared" si="19"/>
        <v>766887.08725368639</v>
      </c>
      <c r="O45" s="124">
        <f t="shared" si="20"/>
        <v>3734787.9045065944</v>
      </c>
      <c r="P45" s="135">
        <f t="shared" si="21"/>
        <v>1.1814446860010125E-2</v>
      </c>
      <c r="R45" s="50"/>
      <c r="S45" s="50"/>
      <c r="T45" s="50"/>
      <c r="U45" s="50"/>
      <c r="V45" s="50"/>
      <c r="W45" s="50"/>
      <c r="X45" s="50"/>
    </row>
    <row r="46" spans="1:24">
      <c r="A46" s="85">
        <v>52</v>
      </c>
      <c r="B46" s="136" t="s">
        <v>129</v>
      </c>
      <c r="C46" s="51">
        <v>9518823</v>
      </c>
      <c r="D46" s="51">
        <v>2226956.71</v>
      </c>
      <c r="E46" s="53">
        <f t="shared" si="11"/>
        <v>0.23395294880469991</v>
      </c>
      <c r="F46" s="52">
        <f t="shared" si="12"/>
        <v>1.2352188680849297E-2</v>
      </c>
      <c r="G46" s="51">
        <v>1864672</v>
      </c>
      <c r="H46" s="121">
        <f t="shared" si="13"/>
        <v>0.19428870600298609</v>
      </c>
      <c r="I46" s="52">
        <f t="shared" si="14"/>
        <v>0.19428870600298609</v>
      </c>
      <c r="J46" s="122">
        <f t="shared" si="15"/>
        <v>1.3635422751497652E-2</v>
      </c>
      <c r="K46" s="123">
        <f t="shared" si="16"/>
        <v>6.8299522071288605E-4</v>
      </c>
      <c r="L46" s="51">
        <f t="shared" si="17"/>
        <v>1952389.537404872</v>
      </c>
      <c r="M46" s="51">
        <f t="shared" si="18"/>
        <v>1293130.6704887191</v>
      </c>
      <c r="N46" s="51">
        <f t="shared" si="19"/>
        <v>43181.747218119235</v>
      </c>
      <c r="O46" s="124">
        <f t="shared" si="20"/>
        <v>3288701.9551117108</v>
      </c>
      <c r="P46" s="135">
        <f t="shared" si="21"/>
        <v>1.0403320210016522E-2</v>
      </c>
      <c r="R46" s="50"/>
      <c r="S46" s="50"/>
      <c r="T46" s="50"/>
      <c r="U46" s="50"/>
      <c r="V46" s="50"/>
      <c r="W46" s="50"/>
      <c r="X46" s="50"/>
    </row>
    <row r="47" spans="1:24">
      <c r="A47" s="85">
        <v>53</v>
      </c>
      <c r="B47" s="136" t="s">
        <v>28</v>
      </c>
      <c r="C47" s="51">
        <v>1409562</v>
      </c>
      <c r="D47" s="51">
        <v>283437</v>
      </c>
      <c r="E47" s="53">
        <f t="shared" si="11"/>
        <v>0.20108161258603738</v>
      </c>
      <c r="F47" s="52">
        <f t="shared" si="12"/>
        <v>1.0616656176390443E-2</v>
      </c>
      <c r="G47" s="51">
        <v>280110</v>
      </c>
      <c r="H47" s="121">
        <f t="shared" si="13"/>
        <v>1.1877476705580037E-2</v>
      </c>
      <c r="I47" s="52">
        <f t="shared" si="14"/>
        <v>1.1877476705580037E-2</v>
      </c>
      <c r="J47" s="122">
        <f t="shared" si="15"/>
        <v>8.335760705470974E-4</v>
      </c>
      <c r="K47" s="123">
        <f t="shared" si="16"/>
        <v>8.6928549398339355E-5</v>
      </c>
      <c r="L47" s="51">
        <f t="shared" si="17"/>
        <v>1678070.9052109728</v>
      </c>
      <c r="M47" s="51">
        <f t="shared" si="18"/>
        <v>79053.125279267624</v>
      </c>
      <c r="N47" s="51">
        <f t="shared" si="19"/>
        <v>5495.9779107075956</v>
      </c>
      <c r="O47" s="124">
        <f t="shared" si="20"/>
        <v>1762620.008400948</v>
      </c>
      <c r="P47" s="135">
        <f t="shared" si="21"/>
        <v>5.5757866192390187E-3</v>
      </c>
      <c r="R47" s="50"/>
      <c r="S47" s="50"/>
      <c r="T47" s="50"/>
      <c r="U47" s="50"/>
      <c r="V47" s="50"/>
      <c r="W47" s="50"/>
      <c r="X47" s="50"/>
    </row>
    <row r="48" spans="1:24">
      <c r="A48" s="85">
        <v>54</v>
      </c>
      <c r="B48" s="136" t="s">
        <v>29</v>
      </c>
      <c r="C48" s="51">
        <v>19900724</v>
      </c>
      <c r="D48" s="51">
        <v>8759498.2199999988</v>
      </c>
      <c r="E48" s="53">
        <f t="shared" si="11"/>
        <v>0.44015977609658818</v>
      </c>
      <c r="F48" s="52">
        <f t="shared" si="12"/>
        <v>2.3239444648351506E-2</v>
      </c>
      <c r="G48" s="51">
        <v>8019249.3600000003</v>
      </c>
      <c r="H48" s="121">
        <f t="shared" si="13"/>
        <v>9.2308996362223006E-2</v>
      </c>
      <c r="I48" s="52">
        <f t="shared" si="14"/>
        <v>9.2308996362223006E-2</v>
      </c>
      <c r="J48" s="122">
        <f t="shared" si="15"/>
        <v>6.4783600398575121E-3</v>
      </c>
      <c r="K48" s="123">
        <f t="shared" si="16"/>
        <v>2.6864893211610888E-3</v>
      </c>
      <c r="L48" s="51">
        <f t="shared" si="17"/>
        <v>3673231.5024369801</v>
      </c>
      <c r="M48" s="51">
        <f t="shared" si="18"/>
        <v>614382.5691864331</v>
      </c>
      <c r="N48" s="51">
        <f t="shared" si="19"/>
        <v>169850.82655405786</v>
      </c>
      <c r="O48" s="124">
        <f t="shared" si="20"/>
        <v>4457464.898177471</v>
      </c>
      <c r="P48" s="135">
        <f t="shared" si="21"/>
        <v>1.4100528200365224E-2</v>
      </c>
      <c r="R48" s="50"/>
      <c r="S48" s="50"/>
      <c r="T48" s="50"/>
      <c r="U48" s="50"/>
      <c r="V48" s="50"/>
      <c r="W48" s="50"/>
      <c r="X48" s="50"/>
    </row>
    <row r="49" spans="1:24">
      <c r="A49" s="85">
        <v>55</v>
      </c>
      <c r="B49" s="136" t="s">
        <v>30</v>
      </c>
      <c r="C49" s="51">
        <v>184594036</v>
      </c>
      <c r="D49" s="51">
        <v>51569187</v>
      </c>
      <c r="E49" s="53">
        <f t="shared" si="11"/>
        <v>0.27936540159943196</v>
      </c>
      <c r="F49" s="52">
        <f t="shared" si="12"/>
        <v>1.4749863889674975E-2</v>
      </c>
      <c r="G49" s="51">
        <v>35449978.850000001</v>
      </c>
      <c r="H49" s="121">
        <f t="shared" si="13"/>
        <v>0.45470289892711735</v>
      </c>
      <c r="I49" s="52">
        <f t="shared" si="14"/>
        <v>0.45470289892711735</v>
      </c>
      <c r="J49" s="122">
        <f t="shared" si="15"/>
        <v>3.1911614322591979E-2</v>
      </c>
      <c r="K49" s="123">
        <f t="shared" si="16"/>
        <v>1.5815982456636572E-2</v>
      </c>
      <c r="L49" s="51">
        <f t="shared" si="17"/>
        <v>2331366.5845304532</v>
      </c>
      <c r="M49" s="51">
        <f t="shared" si="18"/>
        <v>3026373.8776136097</v>
      </c>
      <c r="N49" s="51">
        <f t="shared" si="19"/>
        <v>999951.00366271625</v>
      </c>
      <c r="O49" s="124">
        <f t="shared" si="20"/>
        <v>6357691.4658067795</v>
      </c>
      <c r="P49" s="135">
        <f t="shared" si="21"/>
        <v>2.0111612732942399E-2</v>
      </c>
      <c r="R49" s="50"/>
      <c r="S49" s="50"/>
      <c r="T49" s="50"/>
      <c r="U49" s="50"/>
      <c r="V49" s="50"/>
      <c r="W49" s="50"/>
      <c r="X49" s="50"/>
    </row>
    <row r="50" spans="1:24">
      <c r="A50" s="85">
        <v>58</v>
      </c>
      <c r="B50" s="136" t="s">
        <v>130</v>
      </c>
      <c r="C50" s="51">
        <v>695076792</v>
      </c>
      <c r="D50" s="51">
        <v>370595171.76999998</v>
      </c>
      <c r="E50" s="53">
        <f t="shared" si="11"/>
        <v>0.53317155174129305</v>
      </c>
      <c r="F50" s="52">
        <f t="shared" si="12"/>
        <v>2.8150256878648718E-2</v>
      </c>
      <c r="G50" s="51">
        <v>347547002.57999998</v>
      </c>
      <c r="H50" s="121">
        <f t="shared" si="13"/>
        <v>6.6316696788931928E-2</v>
      </c>
      <c r="I50" s="52">
        <f t="shared" si="14"/>
        <v>6.6316696788931928E-2</v>
      </c>
      <c r="J50" s="122">
        <f t="shared" si="15"/>
        <v>4.6541881656573273E-3</v>
      </c>
      <c r="K50" s="123">
        <f t="shared" si="16"/>
        <v>0.11365947528372973</v>
      </c>
      <c r="L50" s="51">
        <f t="shared" si="17"/>
        <v>4449435.5150470706</v>
      </c>
      <c r="M50" s="51">
        <f t="shared" si="18"/>
        <v>441385.17543037533</v>
      </c>
      <c r="N50" s="51">
        <f t="shared" si="19"/>
        <v>7186016.2147595659</v>
      </c>
      <c r="O50" s="124">
        <f t="shared" si="20"/>
        <v>12076836.905237012</v>
      </c>
      <c r="P50" s="135">
        <f t="shared" si="21"/>
        <v>3.8203279945767506E-2</v>
      </c>
      <c r="R50" s="50"/>
      <c r="S50" s="50"/>
      <c r="T50" s="50"/>
      <c r="U50" s="50"/>
      <c r="V50" s="50"/>
      <c r="W50" s="50"/>
      <c r="X50" s="50"/>
    </row>
    <row r="51" spans="1:24">
      <c r="A51" s="85">
        <v>31</v>
      </c>
      <c r="B51" s="136" t="s">
        <v>131</v>
      </c>
      <c r="C51" s="51">
        <v>1468211408</v>
      </c>
      <c r="D51" s="51">
        <v>926422237.18000007</v>
      </c>
      <c r="E51" s="53">
        <f t="shared" si="11"/>
        <v>0.63098694924457366</v>
      </c>
      <c r="F51" s="52">
        <f t="shared" si="12"/>
        <v>3.3314689522160344E-2</v>
      </c>
      <c r="G51" s="51">
        <v>868179354.09000003</v>
      </c>
      <c r="H51" s="121">
        <f t="shared" si="13"/>
        <v>6.7086233755291769E-2</v>
      </c>
      <c r="I51" s="52">
        <f t="shared" si="14"/>
        <v>6.7086233755291769E-2</v>
      </c>
      <c r="J51" s="122">
        <f t="shared" si="15"/>
        <v>4.7081952259496549E-3</v>
      </c>
      <c r="K51" s="123">
        <f t="shared" si="16"/>
        <v>0.28412854076363248</v>
      </c>
      <c r="L51" s="51">
        <f t="shared" si="17"/>
        <v>5265726.8234414151</v>
      </c>
      <c r="M51" s="51">
        <f t="shared" si="18"/>
        <v>446506.99580659147</v>
      </c>
      <c r="N51" s="51">
        <f t="shared" si="19"/>
        <v>17963766.733099751</v>
      </c>
      <c r="O51" s="124">
        <f t="shared" si="20"/>
        <v>23676000.552347757</v>
      </c>
      <c r="P51" s="135">
        <f t="shared" si="21"/>
        <v>7.489551148159157E-2</v>
      </c>
      <c r="R51" s="50"/>
      <c r="S51" s="50"/>
      <c r="T51" s="50"/>
      <c r="U51" s="50"/>
      <c r="V51" s="50"/>
      <c r="W51" s="50"/>
      <c r="X51" s="50"/>
    </row>
    <row r="52" spans="1:24">
      <c r="A52" s="85">
        <v>57</v>
      </c>
      <c r="B52" s="136" t="s">
        <v>31</v>
      </c>
      <c r="C52" s="51">
        <v>697888471</v>
      </c>
      <c r="D52" s="51">
        <v>224824552.09999999</v>
      </c>
      <c r="E52" s="53">
        <f t="shared" si="11"/>
        <v>0.32214968643607239</v>
      </c>
      <c r="F52" s="52">
        <f t="shared" si="12"/>
        <v>1.7008777750677634E-2</v>
      </c>
      <c r="G52" s="51">
        <v>220953498.33000001</v>
      </c>
      <c r="H52" s="121">
        <f t="shared" si="13"/>
        <v>1.7519766825409011E-2</v>
      </c>
      <c r="I52" s="52">
        <f t="shared" si="14"/>
        <v>1.7519766825409011E-2</v>
      </c>
      <c r="J52" s="122">
        <f t="shared" si="15"/>
        <v>1.2295590005547941E-3</v>
      </c>
      <c r="K52" s="123">
        <f t="shared" si="16"/>
        <v>6.8952438048611758E-2</v>
      </c>
      <c r="L52" s="51">
        <f t="shared" si="17"/>
        <v>2688410.9838730642</v>
      </c>
      <c r="M52" s="51">
        <f t="shared" si="18"/>
        <v>116606.6123339098</v>
      </c>
      <c r="N52" s="51">
        <f t="shared" si="19"/>
        <v>4359454.7364187771</v>
      </c>
      <c r="O52" s="124">
        <f t="shared" si="20"/>
        <v>7164472.3326257505</v>
      </c>
      <c r="P52" s="135">
        <f t="shared" si="21"/>
        <v>2.2663744185227604E-2</v>
      </c>
      <c r="R52" s="50"/>
      <c r="S52" s="50"/>
      <c r="T52" s="50"/>
      <c r="U52" s="50"/>
      <c r="V52" s="50"/>
      <c r="W52" s="50"/>
      <c r="X52" s="50"/>
    </row>
    <row r="53" spans="1:24">
      <c r="A53" s="85">
        <v>56</v>
      </c>
      <c r="B53" s="136" t="s">
        <v>32</v>
      </c>
      <c r="C53" s="51">
        <v>304131836</v>
      </c>
      <c r="D53" s="51">
        <v>123875510.09999999</v>
      </c>
      <c r="E53" s="53">
        <f t="shared" si="11"/>
        <v>0.40730859264598657</v>
      </c>
      <c r="F53" s="52">
        <f t="shared" si="12"/>
        <v>2.150497616464897E-2</v>
      </c>
      <c r="G53" s="51">
        <v>116186275.01000001</v>
      </c>
      <c r="H53" s="121">
        <f t="shared" si="13"/>
        <v>6.6180235912875141E-2</v>
      </c>
      <c r="I53" s="52">
        <f t="shared" si="14"/>
        <v>6.6180235912875141E-2</v>
      </c>
      <c r="J53" s="122">
        <f t="shared" si="15"/>
        <v>4.6446111718507731E-3</v>
      </c>
      <c r="K53" s="123">
        <f t="shared" si="16"/>
        <v>3.799192906703195E-2</v>
      </c>
      <c r="L53" s="51">
        <f t="shared" si="17"/>
        <v>3399081.0495873163</v>
      </c>
      <c r="M53" s="51">
        <f t="shared" si="18"/>
        <v>440476.93043877976</v>
      </c>
      <c r="N53" s="51">
        <f t="shared" si="19"/>
        <v>2402004.915332986</v>
      </c>
      <c r="O53" s="124">
        <f t="shared" si="20"/>
        <v>6241562.8953590821</v>
      </c>
      <c r="P53" s="135">
        <f t="shared" si="21"/>
        <v>1.9744257247286106E-2</v>
      </c>
      <c r="R53" s="50"/>
      <c r="S53" s="50"/>
      <c r="T53" s="50"/>
      <c r="U53" s="50"/>
      <c r="V53" s="50"/>
      <c r="W53" s="50"/>
      <c r="X53" s="50"/>
    </row>
    <row r="54" spans="1:24">
      <c r="A54" s="85">
        <v>59</v>
      </c>
      <c r="B54" s="136" t="s">
        <v>33</v>
      </c>
      <c r="C54" s="51">
        <v>4721817</v>
      </c>
      <c r="D54" s="51">
        <v>4276137</v>
      </c>
      <c r="E54" s="53">
        <f t="shared" si="11"/>
        <v>0.90561260633353646</v>
      </c>
      <c r="F54" s="52">
        <f t="shared" si="12"/>
        <v>4.7814305578707098E-2</v>
      </c>
      <c r="G54" s="51">
        <v>1948534</v>
      </c>
      <c r="H54" s="121">
        <f t="shared" si="13"/>
        <v>1.1945406136100267</v>
      </c>
      <c r="I54" s="52">
        <f t="shared" si="14"/>
        <v>1.1945406136100267</v>
      </c>
      <c r="J54" s="122">
        <f t="shared" si="15"/>
        <v>8.3834344236951103E-2</v>
      </c>
      <c r="K54" s="123">
        <f t="shared" si="16"/>
        <v>1.3114674034743758E-3</v>
      </c>
      <c r="L54" s="51">
        <f t="shared" si="17"/>
        <v>7557539.1829044288</v>
      </c>
      <c r="M54" s="51">
        <f t="shared" si="18"/>
        <v>7950524.435423431</v>
      </c>
      <c r="N54" s="51">
        <f t="shared" si="19"/>
        <v>82916.325303892736</v>
      </c>
      <c r="O54" s="124">
        <f t="shared" si="20"/>
        <v>15590979.943631753</v>
      </c>
      <c r="P54" s="135">
        <f t="shared" si="21"/>
        <v>4.9319749541133759E-2</v>
      </c>
      <c r="R54" s="50"/>
      <c r="S54" s="50"/>
      <c r="T54" s="50"/>
      <c r="U54" s="50"/>
      <c r="V54" s="50"/>
      <c r="W54" s="50"/>
      <c r="X54" s="50"/>
    </row>
    <row r="55" spans="1:24">
      <c r="A55" s="85">
        <v>60</v>
      </c>
      <c r="B55" s="136" t="s">
        <v>34</v>
      </c>
      <c r="C55" s="51">
        <v>3528333</v>
      </c>
      <c r="D55" s="51">
        <v>2184180</v>
      </c>
      <c r="E55" s="53">
        <f t="shared" si="11"/>
        <v>0.61904020964007644</v>
      </c>
      <c r="F55" s="52">
        <f t="shared" si="12"/>
        <v>3.2683928582964351E-2</v>
      </c>
      <c r="G55" s="51">
        <v>614010</v>
      </c>
      <c r="H55" s="121">
        <f t="shared" si="13"/>
        <v>2.5572384814579565</v>
      </c>
      <c r="I55" s="52">
        <f t="shared" si="14"/>
        <v>2.5572384814579565</v>
      </c>
      <c r="J55" s="122">
        <f t="shared" si="15"/>
        <v>0.1794701734775114</v>
      </c>
      <c r="K55" s="123">
        <f t="shared" si="16"/>
        <v>6.6987584198557296E-4</v>
      </c>
      <c r="L55" s="51">
        <f t="shared" si="17"/>
        <v>5166028.6169042028</v>
      </c>
      <c r="M55" s="51">
        <f t="shared" si="18"/>
        <v>17020255.989951663</v>
      </c>
      <c r="N55" s="51">
        <f t="shared" si="19"/>
        <v>42352.286515202024</v>
      </c>
      <c r="O55" s="124">
        <f t="shared" si="20"/>
        <v>22228636.893371068</v>
      </c>
      <c r="P55" s="135">
        <f t="shared" si="21"/>
        <v>7.0316991503132711E-2</v>
      </c>
      <c r="R55" s="50"/>
      <c r="S55" s="50"/>
      <c r="T55" s="50"/>
      <c r="U55" s="50"/>
      <c r="V55" s="50"/>
      <c r="W55" s="50"/>
      <c r="X55" s="50"/>
    </row>
    <row r="56" spans="1:24">
      <c r="B56" s="137" t="s">
        <v>35</v>
      </c>
      <c r="C56" s="138">
        <f>SUM(C5:C55)</f>
        <v>7701303645</v>
      </c>
      <c r="D56" s="138">
        <f>SUM(D5:D55)</f>
        <v>3260574367.8200002</v>
      </c>
      <c r="E56" s="139">
        <f>SUM(E5:E55)</f>
        <v>18.940202003829338</v>
      </c>
      <c r="F56" s="140">
        <f>SUM(F5:F55)</f>
        <v>1.0000000000000002</v>
      </c>
      <c r="G56" s="141">
        <f>SUM(G5:G55)</f>
        <v>3030052090.1700001</v>
      </c>
      <c r="H56" s="142"/>
      <c r="I56" s="140">
        <f t="shared" ref="I56:P56" si="22">SUM(I5:I55)</f>
        <v>14.248821583595296</v>
      </c>
      <c r="J56" s="143">
        <f t="shared" si="22"/>
        <v>1.0000000000000002</v>
      </c>
      <c r="K56" s="144">
        <f t="shared" si="22"/>
        <v>1</v>
      </c>
      <c r="L56" s="141">
        <f t="shared" si="22"/>
        <v>158060210.04454347</v>
      </c>
      <c r="M56" s="141">
        <f t="shared" si="22"/>
        <v>94836126.026726097</v>
      </c>
      <c r="N56" s="141">
        <f t="shared" si="22"/>
        <v>63224084.017817378</v>
      </c>
      <c r="O56" s="138">
        <f t="shared" si="22"/>
        <v>316120420.08908689</v>
      </c>
      <c r="P56" s="145">
        <f t="shared" si="22"/>
        <v>1</v>
      </c>
      <c r="R56" s="50"/>
      <c r="S56" s="50"/>
      <c r="T56" s="50"/>
      <c r="U56" s="50"/>
      <c r="V56" s="50"/>
      <c r="W56" s="50"/>
      <c r="X56" s="50"/>
    </row>
    <row r="59" spans="1:24">
      <c r="L59" s="268"/>
      <c r="M59" s="268"/>
      <c r="N59" s="268"/>
      <c r="O59" s="268"/>
      <c r="P59" s="268"/>
    </row>
    <row r="60" spans="1:24">
      <c r="L60" s="268"/>
      <c r="M60" s="268"/>
      <c r="N60" s="268"/>
      <c r="O60" s="268"/>
      <c r="P60" s="268"/>
    </row>
    <row r="61" spans="1:24">
      <c r="L61" s="268"/>
      <c r="M61" s="268"/>
      <c r="N61" s="268"/>
      <c r="O61" s="268"/>
      <c r="P61" s="268"/>
    </row>
    <row r="62" spans="1:24">
      <c r="L62" s="268"/>
      <c r="M62" s="268"/>
      <c r="N62" s="268"/>
      <c r="O62" s="268"/>
      <c r="P62" s="268"/>
    </row>
    <row r="63" spans="1:24">
      <c r="L63" s="268"/>
      <c r="M63" s="268"/>
      <c r="N63" s="268"/>
      <c r="O63" s="268"/>
      <c r="P63" s="268"/>
    </row>
  </sheetData>
  <mergeCells count="3">
    <mergeCell ref="C1:F1"/>
    <mergeCell ref="G1:J1"/>
    <mergeCell ref="L59:P63"/>
  </mergeCells>
  <printOptions horizontalCentered="1"/>
  <pageMargins left="0.31496062992125984" right="0.31496062992125984" top="0.35433070866141736" bottom="0.15748031496062992" header="0.15748031496062992" footer="0.31496062992125984"/>
  <pageSetup scale="75" orientation="landscape" r:id="rId1"/>
  <headerFooter>
    <oddHeader>&amp;LANEXO I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16</vt:i4>
      </vt:variant>
    </vt:vector>
  </HeadingPairs>
  <TitlesOfParts>
    <vt:vector size="26" baseType="lpstr">
      <vt:lpstr>SALDOS</vt:lpstr>
      <vt:lpstr>PART 2025</vt:lpstr>
      <vt:lpstr>DISTRIBUCION</vt:lpstr>
      <vt:lpstr>DIST VER ACTUAL</vt:lpstr>
      <vt:lpstr>COEF Art 14 F I</vt:lpstr>
      <vt:lpstr>PISO 2021</vt:lpstr>
      <vt:lpstr>Copete</vt:lpstr>
      <vt:lpstr>COEF Art 14 F II</vt:lpstr>
      <vt:lpstr>Art.14 Frac.III</vt:lpstr>
      <vt:lpstr>ISR BI</vt:lpstr>
      <vt:lpstr>'Art.14 Frac.III'!Área_de_impresión</vt:lpstr>
      <vt:lpstr>'COEF Art 14 F I'!Área_de_impresión</vt:lpstr>
      <vt:lpstr>'COEF Art 14 F II'!Área_de_impresión</vt:lpstr>
      <vt:lpstr>Copete!Área_de_impresión</vt:lpstr>
      <vt:lpstr>'DIST VER ACTUAL'!Área_de_impresión</vt:lpstr>
      <vt:lpstr>DISTRIBUCION!Área_de_impresión</vt:lpstr>
      <vt:lpstr>'ISR BI'!Área_de_impresión</vt:lpstr>
      <vt:lpstr>'PART 2025'!Área_de_impresión</vt:lpstr>
      <vt:lpstr>'PISO 2021'!Área_de_impresión</vt:lpstr>
      <vt:lpstr>SALDOS!Área_de_impresión</vt:lpstr>
      <vt:lpstr>'Art.14 Frac.III'!Títulos_a_imprimir</vt:lpstr>
      <vt:lpstr>'COEF Art 14 F I'!Títulos_a_imprimir</vt:lpstr>
      <vt:lpstr>'DIST VER ACTUAL'!Títulos_a_imprimir</vt:lpstr>
      <vt:lpstr>DISTRIBUCION!Títulos_a_imprimir</vt:lpstr>
      <vt:lpstr>'PART 2025'!Títulos_a_imprimir</vt:lpstr>
      <vt:lpstr>SALDOS!Títulos_a_imprimir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Oswaldo Calzada Alba</cp:lastModifiedBy>
  <cp:lastPrinted>2025-07-24T14:33:19Z</cp:lastPrinted>
  <dcterms:created xsi:type="dcterms:W3CDTF">2009-12-17T23:31:03Z</dcterms:created>
  <dcterms:modified xsi:type="dcterms:W3CDTF">2025-07-25T20:08:19Z</dcterms:modified>
</cp:coreProperties>
</file>