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480" windowHeight="10515" firstSheet="5" activeTab="9"/>
  </bookViews>
  <sheets>
    <sheet name="ISN 2014" sheetId="41" r:id="rId1"/>
    <sheet name="COEF Art 14 F I" sheetId="45" r:id="rId2"/>
    <sheet name="ESTIMACIÓN 2016" sheetId="39" r:id="rId3"/>
    <sheet name="Dist 2016 antes de Garantia" sheetId="40" r:id="rId4"/>
    <sheet name="CALCULO GARANTIA" sheetId="42" r:id="rId5"/>
    <sheet name="Estim ISN 2016 " sheetId="46" r:id="rId6"/>
    <sheet name="COEF DIST TEN" sheetId="47" r:id="rId7"/>
    <sheet name=" E TENENCIA 2016" sheetId="48" r:id="rId8"/>
    <sheet name="Estim Tenencia 2016" sheetId="49" r:id="rId9"/>
    <sheet name="Estim Ctrl Vehi 2016" sheetId="50" r:id="rId10"/>
  </sheets>
  <externalReferences>
    <externalReference r:id="rId11"/>
    <externalReference r:id="rId12"/>
  </externalReferences>
  <definedNames>
    <definedName name="_xlnm._FilterDatabase" localSheetId="3" hidden="1">'Dist 2016 antes de Garantia'!#REF!</definedName>
    <definedName name="_xlnm._FilterDatabase" localSheetId="5" hidden="1">'Estim ISN 2016 '!#REF!</definedName>
    <definedName name="_xlnm._FilterDatabase" localSheetId="8" hidden="1">'Estim Tenencia 2016'!#REF!</definedName>
    <definedName name="A_impresión_IM" localSheetId="7">#REF!</definedName>
    <definedName name="A_impresión_IM" localSheetId="4">#REF!</definedName>
    <definedName name="A_impresión_IM" localSheetId="1">#REF!</definedName>
    <definedName name="A_impresión_IM" localSheetId="6">#REF!</definedName>
    <definedName name="A_impresión_IM" localSheetId="3">#REF!</definedName>
    <definedName name="A_impresión_IM" localSheetId="5">#REF!</definedName>
    <definedName name="A_impresión_IM" localSheetId="8">#REF!</definedName>
    <definedName name="A_impresión_IM" localSheetId="2">#REF!</definedName>
    <definedName name="A_impresión_IM">#REF!</definedName>
    <definedName name="AJUSTES" localSheetId="7" hidden="1">{"'beneficiarios'!$A$1:$C$7"}</definedName>
    <definedName name="AJUSTES" localSheetId="4" hidden="1">{"'beneficiarios'!$A$1:$C$7"}</definedName>
    <definedName name="AJUSTES" localSheetId="1" hidden="1">{"'beneficiarios'!$A$1:$C$7"}</definedName>
    <definedName name="AJUSTES" localSheetId="3" hidden="1">{"'beneficiarios'!$A$1:$C$7"}</definedName>
    <definedName name="AJUSTES" localSheetId="5" hidden="1">{"'beneficiarios'!$A$1:$C$7"}</definedName>
    <definedName name="AJUSTES" localSheetId="8" hidden="1">{"'beneficiarios'!$A$1:$C$7"}</definedName>
    <definedName name="AJUSTES" localSheetId="2" hidden="1">{"'beneficiarios'!$A$1:$C$7"}</definedName>
    <definedName name="AJUSTES" hidden="1">{"'beneficiarios'!$A$1:$C$7"}</definedName>
    <definedName name="_xlnm.Print_Area" localSheetId="7">' E TENENCIA 2016'!$A$1:$D$6</definedName>
    <definedName name="_xlnm.Print_Area" localSheetId="4">'CALCULO GARANTIA'!$A$1:$N$60</definedName>
    <definedName name="_xlnm.Print_Area" localSheetId="1">'COEF Art 14 F I'!$A$3:$AQ$60</definedName>
    <definedName name="_xlnm.Print_Area" localSheetId="6">'COEF DIST TEN'!$A$3:$AN$61</definedName>
    <definedName name="_xlnm.Print_Area" localSheetId="3">'Dist 2016 antes de Garantia'!$A$1:$D$58</definedName>
    <definedName name="_xlnm.Print_Area" localSheetId="5">'Estim ISN 2016 '!$A$1:$B$60</definedName>
    <definedName name="_xlnm.Print_Area" localSheetId="8">'Estim Tenencia 2016'!$A$1:$B$60</definedName>
    <definedName name="_xlnm.Print_Area" localSheetId="2">'ESTIMACIÓN 2016'!$A$1:$D$7</definedName>
    <definedName name="_xlnm.Print_Area" localSheetId="0">'ISN 2014'!$A$1:$O$57</definedName>
    <definedName name="_xlnm.Database" localSheetId="7">#REF!</definedName>
    <definedName name="_xlnm.Database" localSheetId="4">#REF!</definedName>
    <definedName name="_xlnm.Database" localSheetId="1">#REF!</definedName>
    <definedName name="_xlnm.Database" localSheetId="6">#REF!</definedName>
    <definedName name="_xlnm.Database" localSheetId="3">#REF!</definedName>
    <definedName name="_xlnm.Database" localSheetId="5">#REF!</definedName>
    <definedName name="_xlnm.Database" localSheetId="8">#REF!</definedName>
    <definedName name="_xlnm.Database" localSheetId="2">#REF!</definedName>
    <definedName name="_xlnm.Database">#REF!</definedName>
    <definedName name="cierre_2001" localSheetId="7">'[1]deuda c sadm'!#REF!</definedName>
    <definedName name="cierre_2001" localSheetId="4">'[1]deuda c sadm'!#REF!</definedName>
    <definedName name="cierre_2001" localSheetId="1">'[1]deuda c sadm'!#REF!</definedName>
    <definedName name="cierre_2001" localSheetId="6">'[1]deuda c sadm'!#REF!</definedName>
    <definedName name="cierre_2001" localSheetId="3">'[1]deuda c sadm'!#REF!</definedName>
    <definedName name="cierre_2001" localSheetId="5">'[1]deuda c sadm'!#REF!</definedName>
    <definedName name="cierre_2001" localSheetId="8">'[1]deuda c sadm'!#REF!</definedName>
    <definedName name="cierre_2001" localSheetId="2">'[1]deuda c sadm'!#REF!</definedName>
    <definedName name="cierre_2001">'[1]deuda c sadm'!#REF!</definedName>
    <definedName name="deuda" localSheetId="7">'[1]deuda c sadm'!#REF!</definedName>
    <definedName name="deuda" localSheetId="6">'[1]deuda c sadm'!#REF!</definedName>
    <definedName name="deuda" localSheetId="3">'[1]deuda c sadm'!#REF!</definedName>
    <definedName name="deuda" localSheetId="5">'[1]deuda c sadm'!#REF!</definedName>
    <definedName name="deuda" localSheetId="8">'[1]deuda c sadm'!#REF!</definedName>
    <definedName name="deuda" localSheetId="2">'[1]deuda c sadm'!#REF!</definedName>
    <definedName name="deuda">'[1]deuda c sadm'!#REF!</definedName>
    <definedName name="Deuda_ingTot" localSheetId="7">'[1]deuda c sadm'!#REF!</definedName>
    <definedName name="Deuda_ingTot" localSheetId="6">'[1]deuda c sadm'!#REF!</definedName>
    <definedName name="Deuda_ingTot" localSheetId="3">'[1]deuda c sadm'!#REF!</definedName>
    <definedName name="Deuda_ingTot" localSheetId="5">'[1]deuda c sadm'!#REF!</definedName>
    <definedName name="Deuda_ingTot" localSheetId="8">'[1]deuda c sadm'!#REF!</definedName>
    <definedName name="Deuda_ingTot" localSheetId="2">'[1]deuda c sadm'!#REF!</definedName>
    <definedName name="Deuda_ingTot">'[1]deuda c sadm'!#REF!</definedName>
    <definedName name="ENERO" localSheetId="7">#REF!</definedName>
    <definedName name="ENERO" localSheetId="4">#REF!</definedName>
    <definedName name="ENERO" localSheetId="1">#REF!</definedName>
    <definedName name="ENERO" localSheetId="6">#REF!</definedName>
    <definedName name="ENERO" localSheetId="3">#REF!</definedName>
    <definedName name="ENERO" localSheetId="5">#REF!</definedName>
    <definedName name="ENERO" localSheetId="8">#REF!</definedName>
    <definedName name="ENERO" localSheetId="2">#REF!</definedName>
    <definedName name="ENERO">#REF!</definedName>
    <definedName name="Fto_1" localSheetId="7">#REF!</definedName>
    <definedName name="Fto_1" localSheetId="4">#REF!</definedName>
    <definedName name="Fto_1" localSheetId="1">#REF!</definedName>
    <definedName name="Fto_1" localSheetId="6">#REF!</definedName>
    <definedName name="Fto_1" localSheetId="3">#REF!</definedName>
    <definedName name="Fto_1" localSheetId="5">#REF!</definedName>
    <definedName name="Fto_1" localSheetId="8">#REF!</definedName>
    <definedName name="Fto_1" localSheetId="2">#REF!</definedName>
    <definedName name="Fto_1">#REF!</definedName>
    <definedName name="HTML_CodePage" hidden="1">1252</definedName>
    <definedName name="HTML_Control" localSheetId="7" hidden="1">{"'beneficiarios'!$A$1:$C$7"}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3" hidden="1">{"'beneficiarios'!$A$1:$C$7"}</definedName>
    <definedName name="HTML_Control" localSheetId="5" hidden="1">{"'beneficiarios'!$A$1:$C$7"}</definedName>
    <definedName name="HTML_Control" localSheetId="8" hidden="1">{"'beneficiarios'!$A$1:$C$7"}</definedName>
    <definedName name="HTML_Control" localSheetId="2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7" hidden="1">{"'beneficiarios'!$A$1:$C$7"}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3" hidden="1">{"'beneficiarios'!$A$1:$C$7"}</definedName>
    <definedName name="INDICADORES" localSheetId="5" hidden="1">{"'beneficiarios'!$A$1:$C$7"}</definedName>
    <definedName name="INDICADORES" localSheetId="8" hidden="1">{"'beneficiarios'!$A$1:$C$7"}</definedName>
    <definedName name="INDICADORES" localSheetId="2" hidden="1">{"'beneficiarios'!$A$1:$C$7"}</definedName>
    <definedName name="INDICADORES" hidden="1">{"'beneficiarios'!$A$1:$C$7"}</definedName>
    <definedName name="ingresofederales" localSheetId="7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3" hidden="1">{"'beneficiarios'!$A$1:$C$7"}</definedName>
    <definedName name="ingresofederales" localSheetId="5" hidden="1">{"'beneficiarios'!$A$1:$C$7"}</definedName>
    <definedName name="ingresofederales" localSheetId="8" hidden="1">{"'beneficiarios'!$A$1:$C$7"}</definedName>
    <definedName name="ingresofederales" localSheetId="2" hidden="1">{"'beneficiarios'!$A$1:$C$7"}</definedName>
    <definedName name="ingresofederales" hidden="1">{"'beneficiarios'!$A$1:$C$7"}</definedName>
    <definedName name="Notas_Fto_1" localSheetId="7">#REF!</definedName>
    <definedName name="Notas_Fto_1" localSheetId="1">#REF!</definedName>
    <definedName name="Notas_Fto_1" localSheetId="6">#REF!</definedName>
    <definedName name="Notas_Fto_1" localSheetId="3">#REF!</definedName>
    <definedName name="Notas_Fto_1" localSheetId="5">#REF!</definedName>
    <definedName name="Notas_Fto_1" localSheetId="8">#REF!</definedName>
    <definedName name="Notas_Fto_1" localSheetId="2">#REF!</definedName>
    <definedName name="Notas_Fto_1">#REF!</definedName>
    <definedName name="Partidas">[2]TECHO!$B$1:$Q$2798</definedName>
    <definedName name="SINAJUSTE" localSheetId="7" hidden="1">{"'beneficiarios'!$A$1:$C$7"}</definedName>
    <definedName name="SINAJUSTE" localSheetId="4" hidden="1">{"'beneficiarios'!$A$1:$C$7"}</definedName>
    <definedName name="SINAJUSTE" localSheetId="1" hidden="1">{"'beneficiarios'!$A$1:$C$7"}</definedName>
    <definedName name="SINAJUSTE" localSheetId="3" hidden="1">{"'beneficiarios'!$A$1:$C$7"}</definedName>
    <definedName name="SINAJUSTE" localSheetId="5" hidden="1">{"'beneficiarios'!$A$1:$C$7"}</definedName>
    <definedName name="SINAJUSTE" localSheetId="8" hidden="1">{"'beneficiarios'!$A$1:$C$7"}</definedName>
    <definedName name="SINAJUSTE" localSheetId="2" hidden="1">{"'beneficiarios'!$A$1:$C$7"}</definedName>
    <definedName name="SINAJUSTE" hidden="1">{"'beneficiarios'!$A$1:$C$7"}</definedName>
    <definedName name="t" localSheetId="7">#REF!</definedName>
    <definedName name="t" localSheetId="4">#REF!</definedName>
    <definedName name="t" localSheetId="1">#REF!</definedName>
    <definedName name="t" localSheetId="3">#REF!</definedName>
    <definedName name="t" localSheetId="5">#REF!</definedName>
    <definedName name="t" localSheetId="8">#REF!</definedName>
    <definedName name="t" localSheetId="2">#REF!</definedName>
    <definedName name="t">#REF!</definedName>
    <definedName name="_xlnm.Print_Titles" localSheetId="1">'COEF Art 14 F I'!$A:$A,'COEF Art 14 F I'!$3:$3</definedName>
    <definedName name="_xlnm.Print_Titles" localSheetId="6">'COEF DIST TEN'!$A:$A</definedName>
    <definedName name="_xlnm.Print_Titles" localSheetId="3">'Dist 2016 antes de Garantia'!$1:$2</definedName>
    <definedName name="_xlnm.Print_Titles" localSheetId="5">'Estim ISN 2016 '!$1:$4</definedName>
    <definedName name="_xlnm.Print_Titles" localSheetId="8">'Estim Tenencia 2016'!$1:$4</definedName>
    <definedName name="TOT" localSheetId="7">#REF!</definedName>
    <definedName name="TOT" localSheetId="1">#REF!</definedName>
    <definedName name="TOT" localSheetId="6">#REF!</definedName>
    <definedName name="TOT" localSheetId="3">#REF!</definedName>
    <definedName name="TOT" localSheetId="5">#REF!</definedName>
    <definedName name="TOT" localSheetId="8">#REF!</definedName>
    <definedName name="TOT" localSheetId="2">#REF!</definedName>
    <definedName name="TOT">#REF!</definedName>
    <definedName name="TOTAL" localSheetId="7">#REF!</definedName>
    <definedName name="TOTAL" localSheetId="1">#REF!</definedName>
    <definedName name="TOTAL" localSheetId="6">#REF!</definedName>
    <definedName name="TOTAL" localSheetId="3">#REF!</definedName>
    <definedName name="TOTAL" localSheetId="5">#REF!</definedName>
    <definedName name="TOTAL" localSheetId="8">#REF!</definedName>
    <definedName name="TOTAL" localSheetId="2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C58" i="50" l="1"/>
  <c r="D4" i="48" l="1"/>
  <c r="AK4" i="47"/>
  <c r="AL4" i="47"/>
  <c r="AM4" i="47"/>
  <c r="AJ4" i="47" s="1"/>
  <c r="O6" i="47"/>
  <c r="P6" i="47"/>
  <c r="Q6" i="47"/>
  <c r="R6" i="47"/>
  <c r="S6" i="47" s="1"/>
  <c r="X6" i="47"/>
  <c r="Y6" i="47"/>
  <c r="Z6" i="47"/>
  <c r="AB6" i="47" s="1"/>
  <c r="AC6" i="47" s="1"/>
  <c r="AA6" i="47"/>
  <c r="AD6" i="47"/>
  <c r="AE6" i="47"/>
  <c r="O7" i="47"/>
  <c r="P7" i="47"/>
  <c r="S7" i="47" s="1"/>
  <c r="Q7" i="47"/>
  <c r="R7" i="47"/>
  <c r="X7" i="47"/>
  <c r="X57" i="47" s="1"/>
  <c r="Y7" i="47"/>
  <c r="Z7" i="47"/>
  <c r="AA7" i="47"/>
  <c r="AB7" i="47"/>
  <c r="O8" i="47"/>
  <c r="P8" i="47"/>
  <c r="Q8" i="47"/>
  <c r="R8" i="47"/>
  <c r="X8" i="47"/>
  <c r="Y8" i="47"/>
  <c r="Z8" i="47"/>
  <c r="AA8" i="47"/>
  <c r="AB8" i="47"/>
  <c r="AC8" i="47" s="1"/>
  <c r="O9" i="47"/>
  <c r="P9" i="47"/>
  <c r="Q9" i="47"/>
  <c r="S9" i="47" s="1"/>
  <c r="R9" i="47"/>
  <c r="X9" i="47"/>
  <c r="Y9" i="47"/>
  <c r="AB9" i="47" s="1"/>
  <c r="AC9" i="47" s="1"/>
  <c r="Z9" i="47"/>
  <c r="AA9" i="47"/>
  <c r="AD9" i="47"/>
  <c r="AE9" i="47" s="1"/>
  <c r="O10" i="47"/>
  <c r="P10" i="47"/>
  <c r="Q10" i="47"/>
  <c r="R10" i="47"/>
  <c r="S10" i="47"/>
  <c r="X10" i="47"/>
  <c r="Y10" i="47"/>
  <c r="Z10" i="47"/>
  <c r="AA10" i="47"/>
  <c r="O11" i="47"/>
  <c r="P11" i="47"/>
  <c r="Q11" i="47"/>
  <c r="R11" i="47"/>
  <c r="S11" i="47"/>
  <c r="X11" i="47"/>
  <c r="Y11" i="47"/>
  <c r="Z11" i="47"/>
  <c r="AA11" i="47"/>
  <c r="AB11" i="47" s="1"/>
  <c r="O12" i="47"/>
  <c r="P12" i="47"/>
  <c r="S12" i="47" s="1"/>
  <c r="Q12" i="47"/>
  <c r="R12" i="47"/>
  <c r="X12" i="47"/>
  <c r="Y12" i="47"/>
  <c r="Z12" i="47"/>
  <c r="AA12" i="47"/>
  <c r="AB12" i="47"/>
  <c r="AD12" i="47" s="1"/>
  <c r="AE12" i="47" s="1"/>
  <c r="O13" i="47"/>
  <c r="P13" i="47"/>
  <c r="Q13" i="47"/>
  <c r="R13" i="47"/>
  <c r="X13" i="47"/>
  <c r="Y13" i="47"/>
  <c r="Z13" i="47"/>
  <c r="AA13" i="47"/>
  <c r="O14" i="47"/>
  <c r="P14" i="47"/>
  <c r="Q14" i="47"/>
  <c r="R14" i="47"/>
  <c r="S14" i="47" s="1"/>
  <c r="X14" i="47"/>
  <c r="Y14" i="47"/>
  <c r="Z14" i="47"/>
  <c r="AB14" i="47" s="1"/>
  <c r="AC14" i="47" s="1"/>
  <c r="AA14" i="47"/>
  <c r="AD14" i="47"/>
  <c r="AE14" i="47"/>
  <c r="O15" i="47"/>
  <c r="P15" i="47"/>
  <c r="S15" i="47" s="1"/>
  <c r="Q15" i="47"/>
  <c r="R15" i="47"/>
  <c r="X15" i="47"/>
  <c r="Y15" i="47"/>
  <c r="Z15" i="47"/>
  <c r="AA15" i="47"/>
  <c r="AB15" i="47"/>
  <c r="O16" i="47"/>
  <c r="P16" i="47"/>
  <c r="Q16" i="47"/>
  <c r="R16" i="47"/>
  <c r="X16" i="47"/>
  <c r="Y16" i="47"/>
  <c r="Z16" i="47"/>
  <c r="AA16" i="47"/>
  <c r="AB16" i="47"/>
  <c r="AC16" i="47" s="1"/>
  <c r="O17" i="47"/>
  <c r="P17" i="47"/>
  <c r="S17" i="47" s="1"/>
  <c r="Q17" i="47"/>
  <c r="R17" i="47"/>
  <c r="X17" i="47"/>
  <c r="Y17" i="47"/>
  <c r="AB17" i="47" s="1"/>
  <c r="AC17" i="47" s="1"/>
  <c r="Z17" i="47"/>
  <c r="AA17" i="47"/>
  <c r="AD17" i="47"/>
  <c r="AE17" i="47" s="1"/>
  <c r="O18" i="47"/>
  <c r="P18" i="47"/>
  <c r="Q18" i="47"/>
  <c r="R18" i="47"/>
  <c r="S18" i="47"/>
  <c r="X18" i="47"/>
  <c r="Y18" i="47"/>
  <c r="Z18" i="47"/>
  <c r="AA18" i="47"/>
  <c r="O19" i="47"/>
  <c r="P19" i="47"/>
  <c r="Q19" i="47"/>
  <c r="R19" i="47"/>
  <c r="S19" i="47"/>
  <c r="X19" i="47"/>
  <c r="Y19" i="47"/>
  <c r="Z19" i="47"/>
  <c r="AA19" i="47"/>
  <c r="AB19" i="47" s="1"/>
  <c r="O20" i="47"/>
  <c r="P20" i="47"/>
  <c r="S20" i="47" s="1"/>
  <c r="Q20" i="47"/>
  <c r="R20" i="47"/>
  <c r="X20" i="47"/>
  <c r="Y20" i="47"/>
  <c r="Z20" i="47"/>
  <c r="AA20" i="47"/>
  <c r="AB20" i="47"/>
  <c r="AD20" i="47" s="1"/>
  <c r="AE20" i="47" s="1"/>
  <c r="O21" i="47"/>
  <c r="P21" i="47"/>
  <c r="S21" i="47" s="1"/>
  <c r="Q21" i="47"/>
  <c r="R21" i="47"/>
  <c r="X21" i="47"/>
  <c r="Y21" i="47"/>
  <c r="Z21" i="47"/>
  <c r="AA21" i="47"/>
  <c r="AB21" i="47"/>
  <c r="O22" i="47"/>
  <c r="P22" i="47"/>
  <c r="Q22" i="47"/>
  <c r="R22" i="47"/>
  <c r="X22" i="47"/>
  <c r="Y22" i="47"/>
  <c r="Z22" i="47"/>
  <c r="AA22" i="47"/>
  <c r="AB22" i="47"/>
  <c r="AC22" i="47" s="1"/>
  <c r="C23" i="47"/>
  <c r="AJ23" i="47" s="1"/>
  <c r="O23" i="47"/>
  <c r="P23" i="47"/>
  <c r="Q23" i="47"/>
  <c r="S23" i="47" s="1"/>
  <c r="R23" i="47"/>
  <c r="X23" i="47"/>
  <c r="Y23" i="47"/>
  <c r="AB23" i="47" s="1"/>
  <c r="Z23" i="47"/>
  <c r="AA23" i="47"/>
  <c r="AC23" i="47"/>
  <c r="AD23" i="47"/>
  <c r="AE23" i="47" s="1"/>
  <c r="O24" i="47"/>
  <c r="P24" i="47"/>
  <c r="Q24" i="47"/>
  <c r="R24" i="47"/>
  <c r="S24" i="47" s="1"/>
  <c r="X24" i="47"/>
  <c r="Y24" i="47"/>
  <c r="Z24" i="47"/>
  <c r="AB24" i="47" s="1"/>
  <c r="AA24" i="47"/>
  <c r="O25" i="47"/>
  <c r="P25" i="47"/>
  <c r="Q25" i="47"/>
  <c r="R25" i="47"/>
  <c r="S25" i="47"/>
  <c r="X25" i="47"/>
  <c r="Y25" i="47"/>
  <c r="Z25" i="47"/>
  <c r="AA25" i="47"/>
  <c r="AB25" i="47" s="1"/>
  <c r="O26" i="47"/>
  <c r="P26" i="47"/>
  <c r="S26" i="47" s="1"/>
  <c r="Q26" i="47"/>
  <c r="R26" i="47"/>
  <c r="X26" i="47"/>
  <c r="Y26" i="47"/>
  <c r="AB26" i="47" s="1"/>
  <c r="AD26" i="47" s="1"/>
  <c r="AE26" i="47" s="1"/>
  <c r="Z26" i="47"/>
  <c r="AA26" i="47"/>
  <c r="AC26" i="47"/>
  <c r="O27" i="47"/>
  <c r="P27" i="47"/>
  <c r="Q27" i="47"/>
  <c r="R27" i="47"/>
  <c r="X27" i="47"/>
  <c r="Y27" i="47"/>
  <c r="Z27" i="47"/>
  <c r="AA27" i="47"/>
  <c r="O28" i="47"/>
  <c r="P28" i="47"/>
  <c r="Q28" i="47"/>
  <c r="R28" i="47"/>
  <c r="S28" i="47" s="1"/>
  <c r="AD28" i="47" s="1"/>
  <c r="AE28" i="47" s="1"/>
  <c r="X28" i="47"/>
  <c r="Y28" i="47"/>
  <c r="Z28" i="47"/>
  <c r="AB28" i="47" s="1"/>
  <c r="AC28" i="47" s="1"/>
  <c r="AA28" i="47"/>
  <c r="O29" i="47"/>
  <c r="P29" i="47"/>
  <c r="S29" i="47" s="1"/>
  <c r="Q29" i="47"/>
  <c r="R29" i="47"/>
  <c r="X29" i="47"/>
  <c r="Y29" i="47"/>
  <c r="Z29" i="47"/>
  <c r="AA29" i="47"/>
  <c r="AB29" i="47"/>
  <c r="O30" i="47"/>
  <c r="P30" i="47"/>
  <c r="Q30" i="47"/>
  <c r="R30" i="47"/>
  <c r="X30" i="47"/>
  <c r="Y30" i="47"/>
  <c r="Z30" i="47"/>
  <c r="AB30" i="47" s="1"/>
  <c r="AC30" i="47" s="1"/>
  <c r="AA30" i="47"/>
  <c r="O31" i="47"/>
  <c r="P31" i="47"/>
  <c r="Q31" i="47"/>
  <c r="R31" i="47"/>
  <c r="S31" i="47"/>
  <c r="X31" i="47"/>
  <c r="Y31" i="47"/>
  <c r="Z31" i="47"/>
  <c r="AA31" i="47"/>
  <c r="O32" i="47"/>
  <c r="P32" i="47"/>
  <c r="Q32" i="47"/>
  <c r="R32" i="47"/>
  <c r="S32" i="47" s="1"/>
  <c r="AD32" i="47" s="1"/>
  <c r="X32" i="47"/>
  <c r="Y32" i="47"/>
  <c r="Z32" i="47"/>
  <c r="AB32" i="47" s="1"/>
  <c r="AC32" i="47" s="1"/>
  <c r="AA32" i="47"/>
  <c r="AE32" i="47"/>
  <c r="O33" i="47"/>
  <c r="P33" i="47"/>
  <c r="S33" i="47" s="1"/>
  <c r="Q33" i="47"/>
  <c r="R33" i="47"/>
  <c r="X33" i="47"/>
  <c r="Y33" i="47"/>
  <c r="Z33" i="47"/>
  <c r="AA33" i="47"/>
  <c r="AB33" i="47"/>
  <c r="E34" i="47"/>
  <c r="F34" i="47" s="1"/>
  <c r="O34" i="47"/>
  <c r="P34" i="47"/>
  <c r="Q34" i="47"/>
  <c r="R34" i="47"/>
  <c r="X34" i="47"/>
  <c r="Y34" i="47"/>
  <c r="AB34" i="47" s="1"/>
  <c r="AC34" i="47" s="1"/>
  <c r="Z34" i="47"/>
  <c r="AA34" i="47"/>
  <c r="O35" i="47"/>
  <c r="P35" i="47"/>
  <c r="Q35" i="47"/>
  <c r="R35" i="47"/>
  <c r="S35" i="47"/>
  <c r="X35" i="47"/>
  <c r="Y35" i="47"/>
  <c r="Z35" i="47"/>
  <c r="AA35" i="47"/>
  <c r="O36" i="47"/>
  <c r="P36" i="47"/>
  <c r="S36" i="47" s="1"/>
  <c r="Q36" i="47"/>
  <c r="R36" i="47"/>
  <c r="X36" i="47"/>
  <c r="Y36" i="47"/>
  <c r="Z36" i="47"/>
  <c r="AA36" i="47"/>
  <c r="AB36" i="47"/>
  <c r="E37" i="47"/>
  <c r="F37" i="47" s="1"/>
  <c r="O37" i="47"/>
  <c r="P37" i="47"/>
  <c r="Q37" i="47"/>
  <c r="R37" i="47"/>
  <c r="X37" i="47"/>
  <c r="Y37" i="47"/>
  <c r="Z37" i="47"/>
  <c r="AB37" i="47" s="1"/>
  <c r="AA37" i="47"/>
  <c r="O38" i="47"/>
  <c r="P38" i="47"/>
  <c r="Q38" i="47"/>
  <c r="R38" i="47"/>
  <c r="S38" i="47"/>
  <c r="X38" i="47"/>
  <c r="Y38" i="47"/>
  <c r="Z38" i="47"/>
  <c r="AA38" i="47"/>
  <c r="E39" i="47"/>
  <c r="F39" i="47" s="1"/>
  <c r="O39" i="47"/>
  <c r="P39" i="47"/>
  <c r="Q39" i="47"/>
  <c r="R39" i="47"/>
  <c r="S39" i="47" s="1"/>
  <c r="AD39" i="47" s="1"/>
  <c r="AE39" i="47" s="1"/>
  <c r="X39" i="47"/>
  <c r="Y39" i="47"/>
  <c r="Z39" i="47"/>
  <c r="AB39" i="47" s="1"/>
  <c r="AC39" i="47" s="1"/>
  <c r="AA39" i="47"/>
  <c r="C40" i="47"/>
  <c r="O40" i="47"/>
  <c r="P40" i="47"/>
  <c r="S40" i="47" s="1"/>
  <c r="Q40" i="47"/>
  <c r="R40" i="47"/>
  <c r="X40" i="47"/>
  <c r="Y40" i="47"/>
  <c r="Z40" i="47"/>
  <c r="AA40" i="47"/>
  <c r="AB40" i="47"/>
  <c r="AC40" i="47" s="1"/>
  <c r="AJ40" i="47"/>
  <c r="C41" i="47"/>
  <c r="AJ41" i="47" s="1"/>
  <c r="O41" i="47"/>
  <c r="P41" i="47"/>
  <c r="Q41" i="47"/>
  <c r="R41" i="47"/>
  <c r="X41" i="47"/>
  <c r="Y41" i="47"/>
  <c r="AB41" i="47" s="1"/>
  <c r="AC41" i="47" s="1"/>
  <c r="Z41" i="47"/>
  <c r="AA41" i="47"/>
  <c r="E42" i="47"/>
  <c r="F42" i="47" s="1"/>
  <c r="O42" i="47"/>
  <c r="P42" i="47"/>
  <c r="Q42" i="47"/>
  <c r="R42" i="47"/>
  <c r="S42" i="47" s="1"/>
  <c r="X42" i="47"/>
  <c r="Y42" i="47"/>
  <c r="Z42" i="47"/>
  <c r="AA42" i="47"/>
  <c r="O43" i="47"/>
  <c r="P43" i="47"/>
  <c r="Q43" i="47"/>
  <c r="R43" i="47"/>
  <c r="X43" i="47"/>
  <c r="Y43" i="47"/>
  <c r="Z43" i="47"/>
  <c r="AB43" i="47" s="1"/>
  <c r="AA43" i="47"/>
  <c r="C44" i="47"/>
  <c r="AJ44" i="47" s="1"/>
  <c r="O44" i="47"/>
  <c r="P44" i="47"/>
  <c r="Q44" i="47"/>
  <c r="R44" i="47"/>
  <c r="S44" i="47"/>
  <c r="X44" i="47"/>
  <c r="Y44" i="47"/>
  <c r="Z44" i="47"/>
  <c r="AA44" i="47"/>
  <c r="AB44" i="47" s="1"/>
  <c r="E45" i="47"/>
  <c r="F45" i="47" s="1"/>
  <c r="O45" i="47"/>
  <c r="P45" i="47"/>
  <c r="S45" i="47" s="1"/>
  <c r="Q45" i="47"/>
  <c r="R45" i="47"/>
  <c r="X45" i="47"/>
  <c r="Y45" i="47"/>
  <c r="AB45" i="47" s="1"/>
  <c r="Z45" i="47"/>
  <c r="AA45" i="47"/>
  <c r="C46" i="47"/>
  <c r="O46" i="47"/>
  <c r="P46" i="47"/>
  <c r="Q46" i="47"/>
  <c r="S46" i="47" s="1"/>
  <c r="R46" i="47"/>
  <c r="X46" i="47"/>
  <c r="Y46" i="47"/>
  <c r="AB46" i="47" s="1"/>
  <c r="AC46" i="47" s="1"/>
  <c r="Z46" i="47"/>
  <c r="AA46" i="47"/>
  <c r="AJ46" i="47"/>
  <c r="O47" i="47"/>
  <c r="P47" i="47"/>
  <c r="Q47" i="47"/>
  <c r="R47" i="47"/>
  <c r="S47" i="47"/>
  <c r="X47" i="47"/>
  <c r="Y47" i="47"/>
  <c r="Z47" i="47"/>
  <c r="AA47" i="47"/>
  <c r="AB47" i="47" s="1"/>
  <c r="C48" i="47"/>
  <c r="AJ48" i="47" s="1"/>
  <c r="O48" i="47"/>
  <c r="P48" i="47"/>
  <c r="Q48" i="47"/>
  <c r="S48" i="47" s="1"/>
  <c r="R48" i="47"/>
  <c r="X48" i="47"/>
  <c r="Y48" i="47"/>
  <c r="AB48" i="47" s="1"/>
  <c r="Z48" i="47"/>
  <c r="AA48" i="47"/>
  <c r="AC48" i="47"/>
  <c r="C49" i="47"/>
  <c r="AJ49" i="47" s="1"/>
  <c r="O49" i="47"/>
  <c r="P49" i="47"/>
  <c r="Q49" i="47"/>
  <c r="R49" i="47"/>
  <c r="X49" i="47"/>
  <c r="Y49" i="47"/>
  <c r="Z49" i="47"/>
  <c r="AA49" i="47"/>
  <c r="AB49" i="47"/>
  <c r="AC49" i="47" s="1"/>
  <c r="C50" i="47"/>
  <c r="E50" i="47"/>
  <c r="F50" i="47" s="1"/>
  <c r="O50" i="47"/>
  <c r="P50" i="47"/>
  <c r="Q50" i="47"/>
  <c r="S50" i="47" s="1"/>
  <c r="AD50" i="47" s="1"/>
  <c r="AE50" i="47" s="1"/>
  <c r="R50" i="47"/>
  <c r="X50" i="47"/>
  <c r="Y50" i="47"/>
  <c r="AB50" i="47" s="1"/>
  <c r="AC50" i="47" s="1"/>
  <c r="Z50" i="47"/>
  <c r="AA50" i="47"/>
  <c r="AJ50" i="47"/>
  <c r="E51" i="47"/>
  <c r="F51" i="47" s="1"/>
  <c r="O51" i="47"/>
  <c r="P51" i="47"/>
  <c r="Q51" i="47"/>
  <c r="R51" i="47"/>
  <c r="S51" i="47"/>
  <c r="X51" i="47"/>
  <c r="Y51" i="47"/>
  <c r="Z51" i="47"/>
  <c r="AA51" i="47"/>
  <c r="AB51" i="47" s="1"/>
  <c r="C52" i="47"/>
  <c r="O52" i="47"/>
  <c r="P52" i="47"/>
  <c r="Q52" i="47"/>
  <c r="S52" i="47" s="1"/>
  <c r="R52" i="47"/>
  <c r="X52" i="47"/>
  <c r="Y52" i="47"/>
  <c r="AB52" i="47" s="1"/>
  <c r="Z52" i="47"/>
  <c r="AA52" i="47"/>
  <c r="AJ52" i="47"/>
  <c r="C53" i="47"/>
  <c r="AJ53" i="47" s="1"/>
  <c r="O53" i="47"/>
  <c r="P53" i="47"/>
  <c r="Q53" i="47"/>
  <c r="R53" i="47"/>
  <c r="X53" i="47"/>
  <c r="Y53" i="47"/>
  <c r="AB53" i="47" s="1"/>
  <c r="Z53" i="47"/>
  <c r="AA53" i="47"/>
  <c r="C54" i="47"/>
  <c r="AJ54" i="47" s="1"/>
  <c r="O54" i="47"/>
  <c r="P54" i="47"/>
  <c r="Q54" i="47"/>
  <c r="S54" i="47" s="1"/>
  <c r="R54" i="47"/>
  <c r="X54" i="47"/>
  <c r="Y54" i="47"/>
  <c r="Z54" i="47"/>
  <c r="AA54" i="47"/>
  <c r="O55" i="47"/>
  <c r="P55" i="47"/>
  <c r="S55" i="47" s="1"/>
  <c r="Q55" i="47"/>
  <c r="R55" i="47"/>
  <c r="X55" i="47"/>
  <c r="Y55" i="47"/>
  <c r="Z55" i="47"/>
  <c r="AB55" i="47" s="1"/>
  <c r="AA55" i="47"/>
  <c r="O56" i="47"/>
  <c r="P56" i="47"/>
  <c r="S56" i="47" s="1"/>
  <c r="Q56" i="47"/>
  <c r="R56" i="47"/>
  <c r="X56" i="47"/>
  <c r="Y56" i="47"/>
  <c r="Z56" i="47"/>
  <c r="AA56" i="47"/>
  <c r="AB56" i="47"/>
  <c r="B57" i="47"/>
  <c r="C57" i="47"/>
  <c r="D57" i="47"/>
  <c r="E46" i="47" s="1"/>
  <c r="F46" i="47" s="1"/>
  <c r="G57" i="47"/>
  <c r="O57" i="47"/>
  <c r="AA57" i="47"/>
  <c r="J58" i="45"/>
  <c r="K58" i="45" s="1"/>
  <c r="G58" i="45"/>
  <c r="H56" i="45" s="1"/>
  <c r="I56" i="45" s="1"/>
  <c r="B58" i="45"/>
  <c r="AD57" i="45"/>
  <c r="AC57" i="45"/>
  <c r="AB57" i="45"/>
  <c r="AA57" i="45"/>
  <c r="U57" i="45"/>
  <c r="T57" i="45"/>
  <c r="S57" i="45"/>
  <c r="R57" i="45"/>
  <c r="K57" i="45"/>
  <c r="L57" i="45" s="1"/>
  <c r="H57" i="45"/>
  <c r="I57" i="45" s="1"/>
  <c r="D57" i="45"/>
  <c r="E57" i="45" s="1"/>
  <c r="AD56" i="45"/>
  <c r="AC56" i="45"/>
  <c r="AB56" i="45"/>
  <c r="AA56" i="45"/>
  <c r="U56" i="45"/>
  <c r="T56" i="45"/>
  <c r="S56" i="45"/>
  <c r="R56" i="45"/>
  <c r="K56" i="45"/>
  <c r="L56" i="45" s="1"/>
  <c r="D56" i="45"/>
  <c r="E56" i="45" s="1"/>
  <c r="AD55" i="45"/>
  <c r="AC55" i="45"/>
  <c r="AB55" i="45"/>
  <c r="AA55" i="45"/>
  <c r="U55" i="45"/>
  <c r="T55" i="45"/>
  <c r="S55" i="45"/>
  <c r="R55" i="45"/>
  <c r="K55" i="45"/>
  <c r="L55" i="45" s="1"/>
  <c r="H55" i="45"/>
  <c r="I55" i="45" s="1"/>
  <c r="D55" i="45"/>
  <c r="E55" i="45" s="1"/>
  <c r="AD54" i="45"/>
  <c r="AC54" i="45"/>
  <c r="AB54" i="45"/>
  <c r="AA54" i="45"/>
  <c r="U54" i="45"/>
  <c r="T54" i="45"/>
  <c r="S54" i="45"/>
  <c r="R54" i="45"/>
  <c r="K54" i="45"/>
  <c r="L54" i="45" s="1"/>
  <c r="D54" i="45"/>
  <c r="E54" i="45" s="1"/>
  <c r="AD53" i="45"/>
  <c r="AC53" i="45"/>
  <c r="AB53" i="45"/>
  <c r="AA53" i="45"/>
  <c r="U53" i="45"/>
  <c r="T53" i="45"/>
  <c r="S53" i="45"/>
  <c r="R53" i="45"/>
  <c r="K53" i="45"/>
  <c r="L53" i="45" s="1"/>
  <c r="H53" i="45"/>
  <c r="I53" i="45" s="1"/>
  <c r="D53" i="45"/>
  <c r="E53" i="45" s="1"/>
  <c r="AD52" i="45"/>
  <c r="AC52" i="45"/>
  <c r="AB52" i="45"/>
  <c r="AA52" i="45"/>
  <c r="U52" i="45"/>
  <c r="T52" i="45"/>
  <c r="S52" i="45"/>
  <c r="R52" i="45"/>
  <c r="K52" i="45"/>
  <c r="L52" i="45" s="1"/>
  <c r="D52" i="45"/>
  <c r="E52" i="45" s="1"/>
  <c r="AD51" i="45"/>
  <c r="AC51" i="45"/>
  <c r="AB51" i="45"/>
  <c r="AA51" i="45"/>
  <c r="AE51" i="45" s="1"/>
  <c r="U51" i="45"/>
  <c r="T51" i="45"/>
  <c r="S51" i="45"/>
  <c r="R51" i="45"/>
  <c r="V51" i="45" s="1"/>
  <c r="K51" i="45"/>
  <c r="L51" i="45" s="1"/>
  <c r="H51" i="45"/>
  <c r="I51" i="45" s="1"/>
  <c r="D51" i="45"/>
  <c r="E51" i="45" s="1"/>
  <c r="AD50" i="45"/>
  <c r="AC50" i="45"/>
  <c r="AB50" i="45"/>
  <c r="AA50" i="45"/>
  <c r="U50" i="45"/>
  <c r="T50" i="45"/>
  <c r="S50" i="45"/>
  <c r="R50" i="45"/>
  <c r="K50" i="45"/>
  <c r="L50" i="45" s="1"/>
  <c r="D50" i="45"/>
  <c r="E50" i="45" s="1"/>
  <c r="AD49" i="45"/>
  <c r="AC49" i="45"/>
  <c r="AB49" i="45"/>
  <c r="AA49" i="45"/>
  <c r="U49" i="45"/>
  <c r="T49" i="45"/>
  <c r="S49" i="45"/>
  <c r="R49" i="45"/>
  <c r="K49" i="45"/>
  <c r="L49" i="45" s="1"/>
  <c r="H49" i="45"/>
  <c r="I49" i="45" s="1"/>
  <c r="D49" i="45"/>
  <c r="E49" i="45" s="1"/>
  <c r="AD48" i="45"/>
  <c r="AC48" i="45"/>
  <c r="AB48" i="45"/>
  <c r="AA48" i="45"/>
  <c r="U48" i="45"/>
  <c r="T48" i="45"/>
  <c r="S48" i="45"/>
  <c r="R48" i="45"/>
  <c r="K48" i="45"/>
  <c r="L48" i="45" s="1"/>
  <c r="D48" i="45"/>
  <c r="E48" i="45" s="1"/>
  <c r="AD47" i="45"/>
  <c r="AC47" i="45"/>
  <c r="AB47" i="45"/>
  <c r="AA47" i="45"/>
  <c r="AE47" i="45" s="1"/>
  <c r="U47" i="45"/>
  <c r="T47" i="45"/>
  <c r="S47" i="45"/>
  <c r="R47" i="45"/>
  <c r="V47" i="45" s="1"/>
  <c r="K47" i="45"/>
  <c r="L47" i="45" s="1"/>
  <c r="H47" i="45"/>
  <c r="I47" i="45" s="1"/>
  <c r="D47" i="45"/>
  <c r="E47" i="45" s="1"/>
  <c r="AD46" i="45"/>
  <c r="AC46" i="45"/>
  <c r="AB46" i="45"/>
  <c r="AA46" i="45"/>
  <c r="U46" i="45"/>
  <c r="T46" i="45"/>
  <c r="S46" i="45"/>
  <c r="R46" i="45"/>
  <c r="K46" i="45"/>
  <c r="L46" i="45" s="1"/>
  <c r="D46" i="45"/>
  <c r="E46" i="45" s="1"/>
  <c r="AD45" i="45"/>
  <c r="AC45" i="45"/>
  <c r="AB45" i="45"/>
  <c r="AA45" i="45"/>
  <c r="U45" i="45"/>
  <c r="T45" i="45"/>
  <c r="S45" i="45"/>
  <c r="R45" i="45"/>
  <c r="K45" i="45"/>
  <c r="L45" i="45" s="1"/>
  <c r="H45" i="45"/>
  <c r="I45" i="45" s="1"/>
  <c r="D45" i="45"/>
  <c r="E45" i="45" s="1"/>
  <c r="AD44" i="45"/>
  <c r="AC44" i="45"/>
  <c r="AB44" i="45"/>
  <c r="AA44" i="45"/>
  <c r="U44" i="45"/>
  <c r="T44" i="45"/>
  <c r="S44" i="45"/>
  <c r="R44" i="45"/>
  <c r="K44" i="45"/>
  <c r="L44" i="45" s="1"/>
  <c r="D44" i="45"/>
  <c r="E44" i="45" s="1"/>
  <c r="AD43" i="45"/>
  <c r="AC43" i="45"/>
  <c r="AB43" i="45"/>
  <c r="AA43" i="45"/>
  <c r="AE43" i="45" s="1"/>
  <c r="U43" i="45"/>
  <c r="T43" i="45"/>
  <c r="S43" i="45"/>
  <c r="R43" i="45"/>
  <c r="V43" i="45" s="1"/>
  <c r="K43" i="45"/>
  <c r="L43" i="45" s="1"/>
  <c r="H43" i="45"/>
  <c r="I43" i="45" s="1"/>
  <c r="D43" i="45"/>
  <c r="E43" i="45" s="1"/>
  <c r="AD42" i="45"/>
  <c r="AC42" i="45"/>
  <c r="AB42" i="45"/>
  <c r="AA42" i="45"/>
  <c r="U42" i="45"/>
  <c r="T42" i="45"/>
  <c r="S42" i="45"/>
  <c r="R42" i="45"/>
  <c r="K42" i="45"/>
  <c r="L42" i="45" s="1"/>
  <c r="D42" i="45"/>
  <c r="E42" i="45" s="1"/>
  <c r="AD41" i="45"/>
  <c r="AC41" i="45"/>
  <c r="AB41" i="45"/>
  <c r="AA41" i="45"/>
  <c r="U41" i="45"/>
  <c r="T41" i="45"/>
  <c r="S41" i="45"/>
  <c r="R41" i="45"/>
  <c r="K41" i="45"/>
  <c r="L41" i="45" s="1"/>
  <c r="H41" i="45"/>
  <c r="I41" i="45" s="1"/>
  <c r="D41" i="45"/>
  <c r="E41" i="45" s="1"/>
  <c r="AD40" i="45"/>
  <c r="AC40" i="45"/>
  <c r="AB40" i="45"/>
  <c r="AA40" i="45"/>
  <c r="U40" i="45"/>
  <c r="T40" i="45"/>
  <c r="S40" i="45"/>
  <c r="R40" i="45"/>
  <c r="K40" i="45"/>
  <c r="L40" i="45" s="1"/>
  <c r="D40" i="45"/>
  <c r="E40" i="45" s="1"/>
  <c r="AD39" i="45"/>
  <c r="AC39" i="45"/>
  <c r="AB39" i="45"/>
  <c r="AA39" i="45"/>
  <c r="AE39" i="45" s="1"/>
  <c r="U39" i="45"/>
  <c r="T39" i="45"/>
  <c r="S39" i="45"/>
  <c r="R39" i="45"/>
  <c r="V39" i="45" s="1"/>
  <c r="K39" i="45"/>
  <c r="L39" i="45" s="1"/>
  <c r="H39" i="45"/>
  <c r="I39" i="45" s="1"/>
  <c r="D39" i="45"/>
  <c r="E39" i="45" s="1"/>
  <c r="AD38" i="45"/>
  <c r="AC38" i="45"/>
  <c r="AB38" i="45"/>
  <c r="AA38" i="45"/>
  <c r="U38" i="45"/>
  <c r="T38" i="45"/>
  <c r="S38" i="45"/>
  <c r="R38" i="45"/>
  <c r="K38" i="45"/>
  <c r="L38" i="45" s="1"/>
  <c r="D38" i="45"/>
  <c r="E38" i="45" s="1"/>
  <c r="AD37" i="45"/>
  <c r="AC37" i="45"/>
  <c r="AB37" i="45"/>
  <c r="AA37" i="45"/>
  <c r="U37" i="45"/>
  <c r="T37" i="45"/>
  <c r="S37" i="45"/>
  <c r="R37" i="45"/>
  <c r="K37" i="45"/>
  <c r="L37" i="45" s="1"/>
  <c r="H37" i="45"/>
  <c r="I37" i="45" s="1"/>
  <c r="D37" i="45"/>
  <c r="E37" i="45" s="1"/>
  <c r="AD36" i="45"/>
  <c r="AC36" i="45"/>
  <c r="AB36" i="45"/>
  <c r="AA36" i="45"/>
  <c r="U36" i="45"/>
  <c r="T36" i="45"/>
  <c r="S36" i="45"/>
  <c r="R36" i="45"/>
  <c r="K36" i="45"/>
  <c r="L36" i="45" s="1"/>
  <c r="D36" i="45"/>
  <c r="E36" i="45" s="1"/>
  <c r="AD35" i="45"/>
  <c r="AC35" i="45"/>
  <c r="AB35" i="45"/>
  <c r="AA35" i="45"/>
  <c r="U35" i="45"/>
  <c r="T35" i="45"/>
  <c r="S35" i="45"/>
  <c r="R35" i="45"/>
  <c r="V35" i="45" s="1"/>
  <c r="K35" i="45"/>
  <c r="L35" i="45" s="1"/>
  <c r="H35" i="45"/>
  <c r="I35" i="45" s="1"/>
  <c r="D35" i="45"/>
  <c r="E35" i="45" s="1"/>
  <c r="AD34" i="45"/>
  <c r="AC34" i="45"/>
  <c r="AB34" i="45"/>
  <c r="AA34" i="45"/>
  <c r="U34" i="45"/>
  <c r="T34" i="45"/>
  <c r="S34" i="45"/>
  <c r="R34" i="45"/>
  <c r="K34" i="45"/>
  <c r="L34" i="45" s="1"/>
  <c r="D34" i="45"/>
  <c r="E34" i="45" s="1"/>
  <c r="AD33" i="45"/>
  <c r="AC33" i="45"/>
  <c r="AB33" i="45"/>
  <c r="AA33" i="45"/>
  <c r="U33" i="45"/>
  <c r="T33" i="45"/>
  <c r="S33" i="45"/>
  <c r="R33" i="45"/>
  <c r="K33" i="45"/>
  <c r="L33" i="45" s="1"/>
  <c r="H33" i="45"/>
  <c r="I33" i="45" s="1"/>
  <c r="D33" i="45"/>
  <c r="E33" i="45" s="1"/>
  <c r="AD32" i="45"/>
  <c r="AC32" i="45"/>
  <c r="AB32" i="45"/>
  <c r="AA32" i="45"/>
  <c r="U32" i="45"/>
  <c r="T32" i="45"/>
  <c r="S32" i="45"/>
  <c r="R32" i="45"/>
  <c r="K32" i="45"/>
  <c r="L32" i="45" s="1"/>
  <c r="D32" i="45"/>
  <c r="E32" i="45" s="1"/>
  <c r="AD31" i="45"/>
  <c r="AC31" i="45"/>
  <c r="AB31" i="45"/>
  <c r="AA31" i="45"/>
  <c r="AE31" i="45" s="1"/>
  <c r="U31" i="45"/>
  <c r="T31" i="45"/>
  <c r="S31" i="45"/>
  <c r="R31" i="45"/>
  <c r="K31" i="45"/>
  <c r="L31" i="45" s="1"/>
  <c r="H31" i="45"/>
  <c r="I31" i="45" s="1"/>
  <c r="M31" i="45" s="1"/>
  <c r="D31" i="45"/>
  <c r="E31" i="45" s="1"/>
  <c r="AD30" i="45"/>
  <c r="AC30" i="45"/>
  <c r="AB30" i="45"/>
  <c r="AA30" i="45"/>
  <c r="U30" i="45"/>
  <c r="T30" i="45"/>
  <c r="S30" i="45"/>
  <c r="R30" i="45"/>
  <c r="K30" i="45"/>
  <c r="L30" i="45" s="1"/>
  <c r="D30" i="45"/>
  <c r="E30" i="45" s="1"/>
  <c r="AD29" i="45"/>
  <c r="AC29" i="45"/>
  <c r="AB29" i="45"/>
  <c r="AA29" i="45"/>
  <c r="U29" i="45"/>
  <c r="T29" i="45"/>
  <c r="S29" i="45"/>
  <c r="R29" i="45"/>
  <c r="K29" i="45"/>
  <c r="L29" i="45" s="1"/>
  <c r="H29" i="45"/>
  <c r="I29" i="45" s="1"/>
  <c r="D29" i="45"/>
  <c r="E29" i="45" s="1"/>
  <c r="AD28" i="45"/>
  <c r="AC28" i="45"/>
  <c r="AB28" i="45"/>
  <c r="AA28" i="45"/>
  <c r="U28" i="45"/>
  <c r="T28" i="45"/>
  <c r="S28" i="45"/>
  <c r="R28" i="45"/>
  <c r="K28" i="45"/>
  <c r="L28" i="45" s="1"/>
  <c r="H28" i="45"/>
  <c r="I28" i="45" s="1"/>
  <c r="D28" i="45"/>
  <c r="E28" i="45" s="1"/>
  <c r="AD27" i="45"/>
  <c r="AC27" i="45"/>
  <c r="AB27" i="45"/>
  <c r="AA27" i="45"/>
  <c r="U27" i="45"/>
  <c r="T27" i="45"/>
  <c r="S27" i="45"/>
  <c r="R27" i="45"/>
  <c r="K27" i="45"/>
  <c r="L27" i="45" s="1"/>
  <c r="D27" i="45"/>
  <c r="E27" i="45" s="1"/>
  <c r="AD26" i="45"/>
  <c r="AC26" i="45"/>
  <c r="AB26" i="45"/>
  <c r="AA26" i="45"/>
  <c r="AE26" i="45" s="1"/>
  <c r="U26" i="45"/>
  <c r="T26" i="45"/>
  <c r="S26" i="45"/>
  <c r="R26" i="45"/>
  <c r="V26" i="45" s="1"/>
  <c r="K26" i="45"/>
  <c r="L26" i="45" s="1"/>
  <c r="H26" i="45"/>
  <c r="I26" i="45" s="1"/>
  <c r="D26" i="45"/>
  <c r="E26" i="45" s="1"/>
  <c r="AD25" i="45"/>
  <c r="AC25" i="45"/>
  <c r="AB25" i="45"/>
  <c r="AA25" i="45"/>
  <c r="U25" i="45"/>
  <c r="T25" i="45"/>
  <c r="S25" i="45"/>
  <c r="R25" i="45"/>
  <c r="K25" i="45"/>
  <c r="L25" i="45" s="1"/>
  <c r="D25" i="45"/>
  <c r="E25" i="45" s="1"/>
  <c r="AD24" i="45"/>
  <c r="AC24" i="45"/>
  <c r="AB24" i="45"/>
  <c r="AA24" i="45"/>
  <c r="U24" i="45"/>
  <c r="T24" i="45"/>
  <c r="S24" i="45"/>
  <c r="R24" i="45"/>
  <c r="K24" i="45"/>
  <c r="L24" i="45" s="1"/>
  <c r="H24" i="45"/>
  <c r="I24" i="45" s="1"/>
  <c r="D24" i="45"/>
  <c r="E24" i="45" s="1"/>
  <c r="AD23" i="45"/>
  <c r="AC23" i="45"/>
  <c r="AB23" i="45"/>
  <c r="AA23" i="45"/>
  <c r="U23" i="45"/>
  <c r="T23" i="45"/>
  <c r="S23" i="45"/>
  <c r="R23" i="45"/>
  <c r="K23" i="45"/>
  <c r="L23" i="45" s="1"/>
  <c r="D23" i="45"/>
  <c r="E23" i="45" s="1"/>
  <c r="AD22" i="45"/>
  <c r="AC22" i="45"/>
  <c r="AB22" i="45"/>
  <c r="AA22" i="45"/>
  <c r="U22" i="45"/>
  <c r="T22" i="45"/>
  <c r="S22" i="45"/>
  <c r="R22" i="45"/>
  <c r="K22" i="45"/>
  <c r="L22" i="45" s="1"/>
  <c r="H22" i="45"/>
  <c r="I22" i="45" s="1"/>
  <c r="D22" i="45"/>
  <c r="E22" i="45" s="1"/>
  <c r="AD21" i="45"/>
  <c r="AC21" i="45"/>
  <c r="AB21" i="45"/>
  <c r="AA21" i="45"/>
  <c r="U21" i="45"/>
  <c r="T21" i="45"/>
  <c r="S21" i="45"/>
  <c r="R21" i="45"/>
  <c r="V21" i="45" s="1"/>
  <c r="K21" i="45"/>
  <c r="L21" i="45" s="1"/>
  <c r="H21" i="45"/>
  <c r="I21" i="45" s="1"/>
  <c r="D21" i="45"/>
  <c r="E21" i="45" s="1"/>
  <c r="AD20" i="45"/>
  <c r="AC20" i="45"/>
  <c r="AB20" i="45"/>
  <c r="AA20" i="45"/>
  <c r="U20" i="45"/>
  <c r="T20" i="45"/>
  <c r="S20" i="45"/>
  <c r="R20" i="45"/>
  <c r="K20" i="45"/>
  <c r="L20" i="45" s="1"/>
  <c r="D20" i="45"/>
  <c r="E20" i="45" s="1"/>
  <c r="AD19" i="45"/>
  <c r="AC19" i="45"/>
  <c r="AB19" i="45"/>
  <c r="AA19" i="45"/>
  <c r="U19" i="45"/>
  <c r="T19" i="45"/>
  <c r="S19" i="45"/>
  <c r="R19" i="45"/>
  <c r="K19" i="45"/>
  <c r="L19" i="45" s="1"/>
  <c r="H19" i="45"/>
  <c r="I19" i="45" s="1"/>
  <c r="D19" i="45"/>
  <c r="E19" i="45" s="1"/>
  <c r="AD18" i="45"/>
  <c r="AC18" i="45"/>
  <c r="AB18" i="45"/>
  <c r="AA18" i="45"/>
  <c r="U18" i="45"/>
  <c r="T18" i="45"/>
  <c r="S18" i="45"/>
  <c r="R18" i="45"/>
  <c r="K18" i="45"/>
  <c r="L18" i="45" s="1"/>
  <c r="E18" i="45"/>
  <c r="D18" i="45"/>
  <c r="AD17" i="45"/>
  <c r="AC17" i="45"/>
  <c r="AB17" i="45"/>
  <c r="AA17" i="45"/>
  <c r="U17" i="45"/>
  <c r="T17" i="45"/>
  <c r="S17" i="45"/>
  <c r="R17" i="45"/>
  <c r="K17" i="45"/>
  <c r="L17" i="45" s="1"/>
  <c r="D17" i="45"/>
  <c r="E17" i="45" s="1"/>
  <c r="AD16" i="45"/>
  <c r="AC16" i="45"/>
  <c r="AB16" i="45"/>
  <c r="AA16" i="45"/>
  <c r="AE16" i="45" s="1"/>
  <c r="U16" i="45"/>
  <c r="T16" i="45"/>
  <c r="S16" i="45"/>
  <c r="R16" i="45"/>
  <c r="V16" i="45" s="1"/>
  <c r="K16" i="45"/>
  <c r="L16" i="45" s="1"/>
  <c r="H16" i="45"/>
  <c r="I16" i="45" s="1"/>
  <c r="D16" i="45"/>
  <c r="E16" i="45" s="1"/>
  <c r="AD15" i="45"/>
  <c r="AC15" i="45"/>
  <c r="AB15" i="45"/>
  <c r="AA15" i="45"/>
  <c r="U15" i="45"/>
  <c r="T15" i="45"/>
  <c r="S15" i="45"/>
  <c r="R15" i="45"/>
  <c r="K15" i="45"/>
  <c r="L15" i="45" s="1"/>
  <c r="D15" i="45"/>
  <c r="E15" i="45" s="1"/>
  <c r="AD14" i="45"/>
  <c r="AC14" i="45"/>
  <c r="AB14" i="45"/>
  <c r="AA14" i="45"/>
  <c r="U14" i="45"/>
  <c r="T14" i="45"/>
  <c r="S14" i="45"/>
  <c r="R14" i="45"/>
  <c r="K14" i="45"/>
  <c r="L14" i="45" s="1"/>
  <c r="H14" i="45"/>
  <c r="I14" i="45" s="1"/>
  <c r="D14" i="45"/>
  <c r="E14" i="45" s="1"/>
  <c r="AD13" i="45"/>
  <c r="AC13" i="45"/>
  <c r="AB13" i="45"/>
  <c r="AA13" i="45"/>
  <c r="U13" i="45"/>
  <c r="T13" i="45"/>
  <c r="S13" i="45"/>
  <c r="R13" i="45"/>
  <c r="K13" i="45"/>
  <c r="L13" i="45" s="1"/>
  <c r="H13" i="45"/>
  <c r="I13" i="45" s="1"/>
  <c r="D13" i="45"/>
  <c r="E13" i="45" s="1"/>
  <c r="AD12" i="45"/>
  <c r="AC12" i="45"/>
  <c r="AB12" i="45"/>
  <c r="AA12" i="45"/>
  <c r="U12" i="45"/>
  <c r="T12" i="45"/>
  <c r="S12" i="45"/>
  <c r="R12" i="45"/>
  <c r="K12" i="45"/>
  <c r="L12" i="45" s="1"/>
  <c r="D12" i="45"/>
  <c r="E12" i="45" s="1"/>
  <c r="AD11" i="45"/>
  <c r="AC11" i="45"/>
  <c r="AB11" i="45"/>
  <c r="AA11" i="45"/>
  <c r="U11" i="45"/>
  <c r="T11" i="45"/>
  <c r="S11" i="45"/>
  <c r="R11" i="45"/>
  <c r="K11" i="45"/>
  <c r="L11" i="45" s="1"/>
  <c r="H11" i="45"/>
  <c r="I11" i="45" s="1"/>
  <c r="D11" i="45"/>
  <c r="E11" i="45" s="1"/>
  <c r="AD10" i="45"/>
  <c r="AC10" i="45"/>
  <c r="AB10" i="45"/>
  <c r="AA10" i="45"/>
  <c r="U10" i="45"/>
  <c r="T10" i="45"/>
  <c r="S10" i="45"/>
  <c r="R10" i="45"/>
  <c r="K10" i="45"/>
  <c r="L10" i="45" s="1"/>
  <c r="E10" i="45"/>
  <c r="D10" i="45"/>
  <c r="AD9" i="45"/>
  <c r="AC9" i="45"/>
  <c r="AB9" i="45"/>
  <c r="AA9" i="45"/>
  <c r="U9" i="45"/>
  <c r="T9" i="45"/>
  <c r="S9" i="45"/>
  <c r="R9" i="45"/>
  <c r="L9" i="45"/>
  <c r="K9" i="45"/>
  <c r="D9" i="45"/>
  <c r="E9" i="45" s="1"/>
  <c r="AD8" i="45"/>
  <c r="AC8" i="45"/>
  <c r="AB8" i="45"/>
  <c r="AA8" i="45"/>
  <c r="U8" i="45"/>
  <c r="T8" i="45"/>
  <c r="S8" i="45"/>
  <c r="R8" i="45"/>
  <c r="K8" i="45"/>
  <c r="L8" i="45" s="1"/>
  <c r="H8" i="45"/>
  <c r="I8" i="45" s="1"/>
  <c r="D8" i="45"/>
  <c r="E8" i="45" s="1"/>
  <c r="AD7" i="45"/>
  <c r="AD58" i="45" s="1"/>
  <c r="AC7" i="45"/>
  <c r="AB7" i="45"/>
  <c r="AB58" i="45" s="1"/>
  <c r="AA7" i="45"/>
  <c r="U7" i="45"/>
  <c r="U58" i="45" s="1"/>
  <c r="T7" i="45"/>
  <c r="S7" i="45"/>
  <c r="S58" i="45" s="1"/>
  <c r="R7" i="45"/>
  <c r="K7" i="45"/>
  <c r="L7" i="45" s="1"/>
  <c r="D7" i="45"/>
  <c r="E7" i="45" s="1"/>
  <c r="AO5" i="45"/>
  <c r="AC55" i="47" l="1"/>
  <c r="AD55" i="47"/>
  <c r="AE55" i="47" s="1"/>
  <c r="AD52" i="47"/>
  <c r="AE52" i="47" s="1"/>
  <c r="AC52" i="47"/>
  <c r="AC47" i="47"/>
  <c r="AD47" i="47"/>
  <c r="AE47" i="47" s="1"/>
  <c r="AD44" i="47"/>
  <c r="AE44" i="47" s="1"/>
  <c r="AC44" i="47"/>
  <c r="H6" i="47"/>
  <c r="I6" i="47" s="1"/>
  <c r="H10" i="47"/>
  <c r="I10" i="47" s="1"/>
  <c r="H14" i="47"/>
  <c r="I14" i="47" s="1"/>
  <c r="H18" i="47"/>
  <c r="I18" i="47" s="1"/>
  <c r="H9" i="47"/>
  <c r="I9" i="47" s="1"/>
  <c r="J9" i="47" s="1"/>
  <c r="AK9" i="47" s="1"/>
  <c r="H13" i="47"/>
  <c r="I13" i="47" s="1"/>
  <c r="H17" i="47"/>
  <c r="I17" i="47" s="1"/>
  <c r="H12" i="47"/>
  <c r="I12" i="47" s="1"/>
  <c r="H20" i="47"/>
  <c r="I20" i="47" s="1"/>
  <c r="J20" i="47" s="1"/>
  <c r="AK20" i="47" s="1"/>
  <c r="H24" i="47"/>
  <c r="I24" i="47" s="1"/>
  <c r="H28" i="47"/>
  <c r="I28" i="47" s="1"/>
  <c r="H7" i="47"/>
  <c r="I7" i="47" s="1"/>
  <c r="H15" i="47"/>
  <c r="I15" i="47" s="1"/>
  <c r="J15" i="47" s="1"/>
  <c r="AK15" i="47" s="1"/>
  <c r="H23" i="47"/>
  <c r="I23" i="47" s="1"/>
  <c r="H27" i="47"/>
  <c r="I27" i="47" s="1"/>
  <c r="H31" i="47"/>
  <c r="I31" i="47" s="1"/>
  <c r="H26" i="47"/>
  <c r="I26" i="47" s="1"/>
  <c r="J26" i="47" s="1"/>
  <c r="AK26" i="47" s="1"/>
  <c r="H33" i="47"/>
  <c r="I33" i="47" s="1"/>
  <c r="H35" i="47"/>
  <c r="I35" i="47" s="1"/>
  <c r="J35" i="47" s="1"/>
  <c r="AK35" i="47" s="1"/>
  <c r="H21" i="47"/>
  <c r="I21" i="47" s="1"/>
  <c r="H29" i="47"/>
  <c r="I29" i="47" s="1"/>
  <c r="J29" i="47" s="1"/>
  <c r="AK29" i="47" s="1"/>
  <c r="H34" i="47"/>
  <c r="I34" i="47" s="1"/>
  <c r="J34" i="47" s="1"/>
  <c r="AK34" i="47" s="1"/>
  <c r="H38" i="47"/>
  <c r="I38" i="47" s="1"/>
  <c r="H42" i="47"/>
  <c r="I42" i="47" s="1"/>
  <c r="J42" i="47" s="1"/>
  <c r="AK42" i="47" s="1"/>
  <c r="H46" i="47"/>
  <c r="I46" i="47" s="1"/>
  <c r="J46" i="47" s="1"/>
  <c r="AK46" i="47" s="1"/>
  <c r="H50" i="47"/>
  <c r="I50" i="47" s="1"/>
  <c r="J50" i="47" s="1"/>
  <c r="AK50" i="47" s="1"/>
  <c r="H54" i="47"/>
  <c r="I54" i="47" s="1"/>
  <c r="H16" i="47"/>
  <c r="I16" i="47" s="1"/>
  <c r="J16" i="47" s="1"/>
  <c r="AK16" i="47" s="1"/>
  <c r="H22" i="47"/>
  <c r="I22" i="47" s="1"/>
  <c r="J22" i="47" s="1"/>
  <c r="AK22" i="47" s="1"/>
  <c r="H25" i="47"/>
  <c r="I25" i="47" s="1"/>
  <c r="H30" i="47"/>
  <c r="I30" i="47" s="1"/>
  <c r="H36" i="47"/>
  <c r="I36" i="47" s="1"/>
  <c r="H8" i="47"/>
  <c r="I8" i="47" s="1"/>
  <c r="J8" i="47" s="1"/>
  <c r="AK8" i="47" s="1"/>
  <c r="H32" i="47"/>
  <c r="I32" i="47" s="1"/>
  <c r="H37" i="47"/>
  <c r="I37" i="47" s="1"/>
  <c r="J37" i="47" s="1"/>
  <c r="AK37" i="47" s="1"/>
  <c r="H44" i="47"/>
  <c r="I44" i="47" s="1"/>
  <c r="H39" i="47"/>
  <c r="I39" i="47" s="1"/>
  <c r="J39" i="47" s="1"/>
  <c r="AK39" i="47" s="1"/>
  <c r="H45" i="47"/>
  <c r="I45" i="47" s="1"/>
  <c r="J45" i="47" s="1"/>
  <c r="AK45" i="47" s="1"/>
  <c r="H48" i="47"/>
  <c r="I48" i="47" s="1"/>
  <c r="H56" i="47"/>
  <c r="I56" i="47" s="1"/>
  <c r="J56" i="47" s="1"/>
  <c r="AK56" i="47" s="1"/>
  <c r="H57" i="47"/>
  <c r="H19" i="47"/>
  <c r="I19" i="47" s="1"/>
  <c r="H41" i="47"/>
  <c r="I41" i="47" s="1"/>
  <c r="H51" i="47"/>
  <c r="I51" i="47" s="1"/>
  <c r="J51" i="47" s="1"/>
  <c r="AK51" i="47" s="1"/>
  <c r="H53" i="47"/>
  <c r="I53" i="47" s="1"/>
  <c r="J53" i="47" s="1"/>
  <c r="AK53" i="47" s="1"/>
  <c r="H52" i="47"/>
  <c r="I52" i="47" s="1"/>
  <c r="H47" i="47"/>
  <c r="I47" i="47" s="1"/>
  <c r="H55" i="47"/>
  <c r="I55" i="47" s="1"/>
  <c r="H11" i="47"/>
  <c r="I11" i="47" s="1"/>
  <c r="H40" i="47"/>
  <c r="I40" i="47" s="1"/>
  <c r="H43" i="47"/>
  <c r="I43" i="47" s="1"/>
  <c r="H49" i="47"/>
  <c r="I49" i="47" s="1"/>
  <c r="AD45" i="47"/>
  <c r="AE45" i="47" s="1"/>
  <c r="AC45" i="47"/>
  <c r="AC53" i="47"/>
  <c r="AC37" i="47"/>
  <c r="AD37" i="47"/>
  <c r="AE37" i="47" s="1"/>
  <c r="AD56" i="47"/>
  <c r="AE56" i="47" s="1"/>
  <c r="AC56" i="47"/>
  <c r="AC51" i="47"/>
  <c r="AD51" i="47"/>
  <c r="AE51" i="47" s="1"/>
  <c r="AC43" i="47"/>
  <c r="AC15" i="47"/>
  <c r="AD15" i="47"/>
  <c r="AE15" i="47" s="1"/>
  <c r="Z57" i="47"/>
  <c r="R57" i="47"/>
  <c r="C7" i="47"/>
  <c r="AJ7" i="47" s="1"/>
  <c r="C11" i="47"/>
  <c r="AJ11" i="47" s="1"/>
  <c r="C15" i="47"/>
  <c r="AJ15" i="47" s="1"/>
  <c r="C19" i="47"/>
  <c r="AJ19" i="47" s="1"/>
  <c r="C6" i="47"/>
  <c r="AJ6" i="47" s="1"/>
  <c r="C10" i="47"/>
  <c r="AJ10" i="47" s="1"/>
  <c r="C14" i="47"/>
  <c r="AJ14" i="47" s="1"/>
  <c r="C18" i="47"/>
  <c r="AJ18" i="47" s="1"/>
  <c r="C13" i="47"/>
  <c r="AJ13" i="47" s="1"/>
  <c r="C25" i="47"/>
  <c r="AJ25" i="47" s="1"/>
  <c r="C29" i="47"/>
  <c r="AJ29" i="47" s="1"/>
  <c r="C8" i="47"/>
  <c r="AJ8" i="47" s="1"/>
  <c r="C16" i="47"/>
  <c r="AJ16" i="47" s="1"/>
  <c r="C21" i="47"/>
  <c r="AJ21" i="47" s="1"/>
  <c r="C24" i="47"/>
  <c r="AJ24" i="47" s="1"/>
  <c r="C28" i="47"/>
  <c r="AJ28" i="47" s="1"/>
  <c r="C32" i="47"/>
  <c r="AJ32" i="47" s="1"/>
  <c r="C27" i="47"/>
  <c r="AJ27" i="47" s="1"/>
  <c r="C22" i="47"/>
  <c r="AJ22" i="47" s="1"/>
  <c r="C30" i="47"/>
  <c r="AJ30" i="47" s="1"/>
  <c r="C31" i="47"/>
  <c r="AJ31" i="47" s="1"/>
  <c r="C35" i="47"/>
  <c r="AJ35" i="47" s="1"/>
  <c r="C39" i="47"/>
  <c r="AJ39" i="47" s="1"/>
  <c r="C43" i="47"/>
  <c r="AJ43" i="47" s="1"/>
  <c r="C47" i="47"/>
  <c r="AJ47" i="47" s="1"/>
  <c r="C51" i="47"/>
  <c r="AJ51" i="47" s="1"/>
  <c r="C55" i="47"/>
  <c r="AJ55" i="47" s="1"/>
  <c r="C17" i="47"/>
  <c r="AJ17" i="47" s="1"/>
  <c r="C20" i="47"/>
  <c r="AJ20" i="47" s="1"/>
  <c r="C33" i="47"/>
  <c r="AJ33" i="47" s="1"/>
  <c r="C34" i="47"/>
  <c r="AJ34" i="47" s="1"/>
  <c r="C37" i="47"/>
  <c r="AJ37" i="47" s="1"/>
  <c r="C9" i="47"/>
  <c r="AJ9" i="47" s="1"/>
  <c r="C12" i="47"/>
  <c r="AJ12" i="47" s="1"/>
  <c r="C36" i="47"/>
  <c r="AJ36" i="47" s="1"/>
  <c r="C38" i="47"/>
  <c r="AJ38" i="47" s="1"/>
  <c r="C45" i="47"/>
  <c r="AJ45" i="47" s="1"/>
  <c r="C56" i="47"/>
  <c r="AJ56" i="47" s="1"/>
  <c r="E54" i="47"/>
  <c r="F54" i="47" s="1"/>
  <c r="S49" i="47"/>
  <c r="E49" i="47"/>
  <c r="F49" i="47" s="1"/>
  <c r="AD46" i="47"/>
  <c r="AE46" i="47" s="1"/>
  <c r="S43" i="47"/>
  <c r="AD43" i="47" s="1"/>
  <c r="AE43" i="47" s="1"/>
  <c r="C42" i="47"/>
  <c r="AJ42" i="47" s="1"/>
  <c r="AD36" i="47"/>
  <c r="AE36" i="47" s="1"/>
  <c r="AC36" i="47"/>
  <c r="AD33" i="47"/>
  <c r="AE33" i="47" s="1"/>
  <c r="AC33" i="47"/>
  <c r="AC25" i="47"/>
  <c r="AD25" i="47"/>
  <c r="AE25" i="47" s="1"/>
  <c r="AC24" i="47"/>
  <c r="AD24" i="47"/>
  <c r="AE24" i="47" s="1"/>
  <c r="AC21" i="47"/>
  <c r="AD21" i="47"/>
  <c r="AE21" i="47" s="1"/>
  <c r="Y57" i="47"/>
  <c r="Q57" i="47"/>
  <c r="S53" i="47"/>
  <c r="AD53" i="47" s="1"/>
  <c r="AE53" i="47" s="1"/>
  <c r="AD49" i="47"/>
  <c r="AE49" i="47" s="1"/>
  <c r="S41" i="47"/>
  <c r="AD41" i="47" s="1"/>
  <c r="AE41" i="47" s="1"/>
  <c r="AD40" i="47"/>
  <c r="AE40" i="47" s="1"/>
  <c r="AB38" i="47"/>
  <c r="AC7" i="47"/>
  <c r="AD7" i="47"/>
  <c r="AE7" i="47" s="1"/>
  <c r="P57" i="47"/>
  <c r="E8" i="47"/>
  <c r="F8" i="47" s="1"/>
  <c r="E12" i="47"/>
  <c r="F12" i="47" s="1"/>
  <c r="E16" i="47"/>
  <c r="F16" i="47" s="1"/>
  <c r="E20" i="47"/>
  <c r="F20" i="47" s="1"/>
  <c r="E7" i="47"/>
  <c r="F7" i="47" s="1"/>
  <c r="E11" i="47"/>
  <c r="F11" i="47" s="1"/>
  <c r="E15" i="47"/>
  <c r="F15" i="47" s="1"/>
  <c r="E19" i="47"/>
  <c r="F19" i="47" s="1"/>
  <c r="E10" i="47"/>
  <c r="F10" i="47" s="1"/>
  <c r="E18" i="47"/>
  <c r="F18" i="47" s="1"/>
  <c r="E22" i="47"/>
  <c r="F22" i="47" s="1"/>
  <c r="E26" i="47"/>
  <c r="F26" i="47" s="1"/>
  <c r="E30" i="47"/>
  <c r="F30" i="47" s="1"/>
  <c r="E13" i="47"/>
  <c r="F13" i="47" s="1"/>
  <c r="E25" i="47"/>
  <c r="F25" i="47" s="1"/>
  <c r="E29" i="47"/>
  <c r="F29" i="47" s="1"/>
  <c r="E33" i="47"/>
  <c r="F33" i="47" s="1"/>
  <c r="E6" i="47"/>
  <c r="E9" i="47"/>
  <c r="F9" i="47" s="1"/>
  <c r="E14" i="47"/>
  <c r="F14" i="47" s="1"/>
  <c r="E17" i="47"/>
  <c r="F17" i="47" s="1"/>
  <c r="E21" i="47"/>
  <c r="F21" i="47" s="1"/>
  <c r="E24" i="47"/>
  <c r="F24" i="47" s="1"/>
  <c r="E32" i="47"/>
  <c r="F32" i="47" s="1"/>
  <c r="E27" i="47"/>
  <c r="F27" i="47" s="1"/>
  <c r="E36" i="47"/>
  <c r="F36" i="47" s="1"/>
  <c r="E40" i="47"/>
  <c r="F40" i="47" s="1"/>
  <c r="E44" i="47"/>
  <c r="F44" i="47" s="1"/>
  <c r="E48" i="47"/>
  <c r="F48" i="47" s="1"/>
  <c r="E52" i="47"/>
  <c r="F52" i="47" s="1"/>
  <c r="E56" i="47"/>
  <c r="F56" i="47" s="1"/>
  <c r="E23" i="47"/>
  <c r="F23" i="47" s="1"/>
  <c r="E28" i="47"/>
  <c r="F28" i="47" s="1"/>
  <c r="E31" i="47"/>
  <c r="F31" i="47" s="1"/>
  <c r="E35" i="47"/>
  <c r="F35" i="47" s="1"/>
  <c r="E41" i="47"/>
  <c r="F41" i="47" s="1"/>
  <c r="E43" i="47"/>
  <c r="F43" i="47" s="1"/>
  <c r="E55" i="47"/>
  <c r="F55" i="47" s="1"/>
  <c r="AB54" i="47"/>
  <c r="E53" i="47"/>
  <c r="F53" i="47" s="1"/>
  <c r="AD48" i="47"/>
  <c r="AE48" i="47" s="1"/>
  <c r="E47" i="47"/>
  <c r="F47" i="47" s="1"/>
  <c r="E38" i="47"/>
  <c r="F38" i="47" s="1"/>
  <c r="AC29" i="47"/>
  <c r="AD29" i="47"/>
  <c r="AE29" i="47" s="1"/>
  <c r="C26" i="47"/>
  <c r="AJ26" i="47" s="1"/>
  <c r="AB42" i="47"/>
  <c r="S37" i="47"/>
  <c r="S34" i="47"/>
  <c r="AD34" i="47" s="1"/>
  <c r="AE34" i="47" s="1"/>
  <c r="S27" i="47"/>
  <c r="AC19" i="47"/>
  <c r="AD19" i="47"/>
  <c r="AE19" i="47" s="1"/>
  <c r="AB35" i="47"/>
  <c r="AC11" i="47"/>
  <c r="AD11" i="47"/>
  <c r="AE11" i="47" s="1"/>
  <c r="S30" i="47"/>
  <c r="AD30" i="47" s="1"/>
  <c r="AE30" i="47" s="1"/>
  <c r="AB27" i="47"/>
  <c r="S22" i="47"/>
  <c r="AC20" i="47"/>
  <c r="AB18" i="47"/>
  <c r="AC12" i="47"/>
  <c r="AB10" i="47"/>
  <c r="AB31" i="47"/>
  <c r="AD22" i="47"/>
  <c r="AE22" i="47" s="1"/>
  <c r="S16" i="47"/>
  <c r="AB13" i="47"/>
  <c r="S13" i="47"/>
  <c r="S8" i="47"/>
  <c r="AD16" i="47"/>
  <c r="AE16" i="47" s="1"/>
  <c r="AD8" i="47"/>
  <c r="AE8" i="47" s="1"/>
  <c r="V8" i="45"/>
  <c r="AE8" i="45"/>
  <c r="AF8" i="45" s="1"/>
  <c r="V11" i="45"/>
  <c r="AG11" i="45" s="1"/>
  <c r="AH11" i="45" s="1"/>
  <c r="AE11" i="45"/>
  <c r="V19" i="45"/>
  <c r="AG19" i="45" s="1"/>
  <c r="AH19" i="45" s="1"/>
  <c r="AE19" i="45"/>
  <c r="M23" i="45"/>
  <c r="AN23" i="45" s="1"/>
  <c r="V24" i="45"/>
  <c r="AE24" i="45"/>
  <c r="AF24" i="45" s="1"/>
  <c r="V28" i="45"/>
  <c r="AE28" i="45"/>
  <c r="AG28" i="45" s="1"/>
  <c r="AH28" i="45" s="1"/>
  <c r="V33" i="45"/>
  <c r="AG33" i="45" s="1"/>
  <c r="AH33" i="45" s="1"/>
  <c r="AE33" i="45"/>
  <c r="M36" i="45"/>
  <c r="AN36" i="45" s="1"/>
  <c r="V37" i="45"/>
  <c r="AE37" i="45"/>
  <c r="AG37" i="45" s="1"/>
  <c r="AH37" i="45" s="1"/>
  <c r="V41" i="45"/>
  <c r="V45" i="45"/>
  <c r="AG45" i="45" s="1"/>
  <c r="AH45" i="45" s="1"/>
  <c r="V49" i="45"/>
  <c r="V53" i="45"/>
  <c r="AG53" i="45" s="1"/>
  <c r="AH53" i="45" s="1"/>
  <c r="AE53" i="45"/>
  <c r="M56" i="45"/>
  <c r="AN56" i="45" s="1"/>
  <c r="V57" i="45"/>
  <c r="AE57" i="45"/>
  <c r="AG57" i="45" s="1"/>
  <c r="AH57" i="45" s="1"/>
  <c r="R58" i="45"/>
  <c r="AA58" i="45"/>
  <c r="H9" i="45"/>
  <c r="I9" i="45" s="1"/>
  <c r="H12" i="45"/>
  <c r="I12" i="45" s="1"/>
  <c r="M12" i="45" s="1"/>
  <c r="AN12" i="45" s="1"/>
  <c r="H15" i="45"/>
  <c r="I15" i="45" s="1"/>
  <c r="V17" i="45"/>
  <c r="H20" i="45"/>
  <c r="I20" i="45" s="1"/>
  <c r="M21" i="45"/>
  <c r="M22" i="45"/>
  <c r="V23" i="45"/>
  <c r="AG23" i="45" s="1"/>
  <c r="AH23" i="45" s="1"/>
  <c r="AE23" i="45"/>
  <c r="H25" i="45"/>
  <c r="I25" i="45" s="1"/>
  <c r="M25" i="45" s="1"/>
  <c r="V27" i="45"/>
  <c r="AE27" i="45"/>
  <c r="AG27" i="45" s="1"/>
  <c r="AH27" i="45" s="1"/>
  <c r="H30" i="45"/>
  <c r="I30" i="45" s="1"/>
  <c r="V32" i="45"/>
  <c r="AE32" i="45"/>
  <c r="H34" i="45"/>
  <c r="I34" i="45" s="1"/>
  <c r="M34" i="45" s="1"/>
  <c r="AN34" i="45" s="1"/>
  <c r="V36" i="45"/>
  <c r="AE36" i="45"/>
  <c r="AF36" i="45" s="1"/>
  <c r="H38" i="45"/>
  <c r="I38" i="45" s="1"/>
  <c r="V40" i="45"/>
  <c r="AE40" i="45"/>
  <c r="H42" i="45"/>
  <c r="I42" i="45" s="1"/>
  <c r="M42" i="45" s="1"/>
  <c r="AN42" i="45" s="1"/>
  <c r="V44" i="45"/>
  <c r="AE44" i="45"/>
  <c r="AF44" i="45" s="1"/>
  <c r="H46" i="45"/>
  <c r="I46" i="45" s="1"/>
  <c r="V48" i="45"/>
  <c r="AE48" i="45"/>
  <c r="H50" i="45"/>
  <c r="I50" i="45" s="1"/>
  <c r="M50" i="45" s="1"/>
  <c r="AN50" i="45" s="1"/>
  <c r="V52" i="45"/>
  <c r="AE52" i="45"/>
  <c r="AF52" i="45" s="1"/>
  <c r="H54" i="45"/>
  <c r="I54" i="45" s="1"/>
  <c r="V56" i="45"/>
  <c r="AE56" i="45"/>
  <c r="D58" i="45"/>
  <c r="M15" i="45"/>
  <c r="M30" i="45"/>
  <c r="M38" i="45"/>
  <c r="M46" i="45"/>
  <c r="M54" i="45"/>
  <c r="H7" i="45"/>
  <c r="T58" i="45"/>
  <c r="AC58" i="45"/>
  <c r="H10" i="45"/>
  <c r="I10" i="45" s="1"/>
  <c r="M10" i="45" s="1"/>
  <c r="V12" i="45"/>
  <c r="AE12" i="45"/>
  <c r="AF12" i="45" s="1"/>
  <c r="M14" i="45"/>
  <c r="V15" i="45"/>
  <c r="AG15" i="45" s="1"/>
  <c r="AH15" i="45" s="1"/>
  <c r="AE15" i="45"/>
  <c r="H17" i="45"/>
  <c r="I17" i="45" s="1"/>
  <c r="M17" i="45" s="1"/>
  <c r="H18" i="45"/>
  <c r="I18" i="45" s="1"/>
  <c r="M18" i="45" s="1"/>
  <c r="M19" i="45"/>
  <c r="V20" i="45"/>
  <c r="AE20" i="45"/>
  <c r="AF20" i="45" s="1"/>
  <c r="H23" i="45"/>
  <c r="I23" i="45" s="1"/>
  <c r="V25" i="45"/>
  <c r="AE25" i="45"/>
  <c r="H27" i="45"/>
  <c r="I27" i="45" s="1"/>
  <c r="M28" i="45"/>
  <c r="V30" i="45"/>
  <c r="AE30" i="45"/>
  <c r="H32" i="45"/>
  <c r="I32" i="45" s="1"/>
  <c r="M32" i="45" s="1"/>
  <c r="AN32" i="45" s="1"/>
  <c r="V34" i="45"/>
  <c r="AE34" i="45"/>
  <c r="AG34" i="45" s="1"/>
  <c r="AH34" i="45" s="1"/>
  <c r="H36" i="45"/>
  <c r="I36" i="45" s="1"/>
  <c r="V38" i="45"/>
  <c r="AG38" i="45" s="1"/>
  <c r="AH38" i="45" s="1"/>
  <c r="AE38" i="45"/>
  <c r="H40" i="45"/>
  <c r="I40" i="45" s="1"/>
  <c r="M40" i="45" s="1"/>
  <c r="AN40" i="45" s="1"/>
  <c r="V42" i="45"/>
  <c r="AE42" i="45"/>
  <c r="AG42" i="45" s="1"/>
  <c r="AH42" i="45" s="1"/>
  <c r="H44" i="45"/>
  <c r="I44" i="45" s="1"/>
  <c r="M44" i="45" s="1"/>
  <c r="AN44" i="45" s="1"/>
  <c r="V46" i="45"/>
  <c r="AG46" i="45" s="1"/>
  <c r="AH46" i="45" s="1"/>
  <c r="AE46" i="45"/>
  <c r="H48" i="45"/>
  <c r="I48" i="45" s="1"/>
  <c r="M48" i="45" s="1"/>
  <c r="AN48" i="45" s="1"/>
  <c r="V50" i="45"/>
  <c r="AE50" i="45"/>
  <c r="AG50" i="45" s="1"/>
  <c r="AH50" i="45" s="1"/>
  <c r="H52" i="45"/>
  <c r="I52" i="45" s="1"/>
  <c r="M52" i="45" s="1"/>
  <c r="AN52" i="45" s="1"/>
  <c r="M11" i="45"/>
  <c r="M9" i="45"/>
  <c r="M13" i="45"/>
  <c r="M33" i="45"/>
  <c r="AN33" i="45" s="1"/>
  <c r="AE35" i="45"/>
  <c r="M37" i="45"/>
  <c r="AN37" i="45" s="1"/>
  <c r="M41" i="45"/>
  <c r="M45" i="45"/>
  <c r="AN45" i="45" s="1"/>
  <c r="M49" i="45"/>
  <c r="M53" i="45"/>
  <c r="AN53" i="45" s="1"/>
  <c r="V54" i="45"/>
  <c r="AE54" i="45"/>
  <c r="AG54" i="45" s="1"/>
  <c r="AH54" i="45" s="1"/>
  <c r="V55" i="45"/>
  <c r="AE55" i="45"/>
  <c r="AF55" i="45" s="1"/>
  <c r="I7" i="45"/>
  <c r="M7" i="45" s="1"/>
  <c r="V9" i="45"/>
  <c r="AE9" i="45"/>
  <c r="V10" i="45"/>
  <c r="AG10" i="45" s="1"/>
  <c r="AH10" i="45" s="1"/>
  <c r="AE10" i="45"/>
  <c r="V13" i="45"/>
  <c r="AE13" i="45"/>
  <c r="V14" i="45"/>
  <c r="AG14" i="45" s="1"/>
  <c r="AH14" i="45" s="1"/>
  <c r="AE14" i="45"/>
  <c r="AE17" i="45"/>
  <c r="AF17" i="45" s="1"/>
  <c r="V18" i="45"/>
  <c r="AE18" i="45"/>
  <c r="AG18" i="45" s="1"/>
  <c r="AH18" i="45" s="1"/>
  <c r="AE21" i="45"/>
  <c r="V22" i="45"/>
  <c r="AG22" i="45" s="1"/>
  <c r="AH22" i="45" s="1"/>
  <c r="AE22" i="45"/>
  <c r="V29" i="45"/>
  <c r="AE29" i="45"/>
  <c r="AE41" i="45"/>
  <c r="AG41" i="45" s="1"/>
  <c r="AH41" i="45" s="1"/>
  <c r="AE45" i="45"/>
  <c r="AE49" i="45"/>
  <c r="AG49" i="45" s="1"/>
  <c r="AH49" i="45" s="1"/>
  <c r="AN5" i="45"/>
  <c r="AN15" i="45"/>
  <c r="AG8" i="45"/>
  <c r="AH8" i="45" s="1"/>
  <c r="AF11" i="45"/>
  <c r="AG12" i="45"/>
  <c r="AH12" i="45" s="1"/>
  <c r="AF15" i="45"/>
  <c r="AG16" i="45"/>
  <c r="AH16" i="45" s="1"/>
  <c r="AF16" i="45"/>
  <c r="AF19" i="45"/>
  <c r="AG20" i="45"/>
  <c r="AH20" i="45" s="1"/>
  <c r="AF23" i="45"/>
  <c r="AG24" i="45"/>
  <c r="AH24" i="45" s="1"/>
  <c r="AG26" i="45"/>
  <c r="AH26" i="45" s="1"/>
  <c r="AF26" i="45"/>
  <c r="AF27" i="45"/>
  <c r="AG30" i="45"/>
  <c r="AH30" i="45" s="1"/>
  <c r="AF30" i="45"/>
  <c r="AF31" i="45"/>
  <c r="M29" i="45"/>
  <c r="E58" i="45"/>
  <c r="F10" i="45" s="1"/>
  <c r="AF9" i="45"/>
  <c r="AG9" i="45"/>
  <c r="AH9" i="45" s="1"/>
  <c r="AF10" i="45"/>
  <c r="AF13" i="45"/>
  <c r="AG13" i="45"/>
  <c r="AH13" i="45" s="1"/>
  <c r="AF14" i="45"/>
  <c r="AG17" i="45"/>
  <c r="AH17" i="45" s="1"/>
  <c r="AF18" i="45"/>
  <c r="AF21" i="45"/>
  <c r="AG21" i="45"/>
  <c r="AH21" i="45" s="1"/>
  <c r="AF22" i="45"/>
  <c r="AF25" i="45"/>
  <c r="AG25" i="45"/>
  <c r="AH25" i="45" s="1"/>
  <c r="AF28" i="45"/>
  <c r="AF29" i="45"/>
  <c r="AG29" i="45"/>
  <c r="AH29" i="45" s="1"/>
  <c r="M8" i="45"/>
  <c r="F12" i="45"/>
  <c r="F15" i="45"/>
  <c r="M16" i="45"/>
  <c r="F20" i="45"/>
  <c r="M20" i="45"/>
  <c r="AN20" i="45" s="1"/>
  <c r="F23" i="45"/>
  <c r="M24" i="45"/>
  <c r="M26" i="45"/>
  <c r="M27" i="45"/>
  <c r="F31" i="45"/>
  <c r="AF34" i="45"/>
  <c r="AF35" i="45"/>
  <c r="AG35" i="45"/>
  <c r="AH35" i="45" s="1"/>
  <c r="AF38" i="45"/>
  <c r="AF39" i="45"/>
  <c r="AG39" i="45"/>
  <c r="AH39" i="45" s="1"/>
  <c r="AF42" i="45"/>
  <c r="AF43" i="45"/>
  <c r="AG43" i="45"/>
  <c r="AH43" i="45" s="1"/>
  <c r="AF46" i="45"/>
  <c r="AF47" i="45"/>
  <c r="AG47" i="45"/>
  <c r="AH47" i="45" s="1"/>
  <c r="AF50" i="45"/>
  <c r="AF51" i="45"/>
  <c r="AG51" i="45"/>
  <c r="AH51" i="45" s="1"/>
  <c r="AF54" i="45"/>
  <c r="AG55" i="45"/>
  <c r="AH55" i="45" s="1"/>
  <c r="AE7" i="45"/>
  <c r="F32" i="45"/>
  <c r="F33" i="45"/>
  <c r="F36" i="45"/>
  <c r="F37" i="45"/>
  <c r="F40" i="45"/>
  <c r="F41" i="45"/>
  <c r="AN41" i="45"/>
  <c r="F44" i="45"/>
  <c r="F45" i="45"/>
  <c r="F48" i="45"/>
  <c r="F49" i="45"/>
  <c r="AN49" i="45"/>
  <c r="F52" i="45"/>
  <c r="F53" i="45"/>
  <c r="F56" i="45"/>
  <c r="F57" i="45"/>
  <c r="M57" i="45"/>
  <c r="AN57" i="45" s="1"/>
  <c r="AG32" i="45"/>
  <c r="AH32" i="45" s="1"/>
  <c r="AF32" i="45"/>
  <c r="AF33" i="45"/>
  <c r="AG36" i="45"/>
  <c r="AH36" i="45" s="1"/>
  <c r="AF37" i="45"/>
  <c r="AG40" i="45"/>
  <c r="AH40" i="45" s="1"/>
  <c r="AF40" i="45"/>
  <c r="AF41" i="45"/>
  <c r="AG44" i="45"/>
  <c r="AH44" i="45" s="1"/>
  <c r="AF45" i="45"/>
  <c r="AG48" i="45"/>
  <c r="AH48" i="45" s="1"/>
  <c r="AF48" i="45"/>
  <c r="AF49" i="45"/>
  <c r="AG52" i="45"/>
  <c r="AH52" i="45" s="1"/>
  <c r="AF53" i="45"/>
  <c r="AG56" i="45"/>
  <c r="AH56" i="45" s="1"/>
  <c r="AF56" i="45"/>
  <c r="AF57" i="45"/>
  <c r="AM5" i="45"/>
  <c r="L58" i="45"/>
  <c r="V7" i="45"/>
  <c r="V31" i="45"/>
  <c r="AG31" i="45" s="1"/>
  <c r="AH31" i="45" s="1"/>
  <c r="M35" i="45"/>
  <c r="AN35" i="45" s="1"/>
  <c r="AN38" i="45"/>
  <c r="M39" i="45"/>
  <c r="AN39" i="45" s="1"/>
  <c r="M43" i="45"/>
  <c r="AN43" i="45" s="1"/>
  <c r="AN46" i="45"/>
  <c r="M47" i="45"/>
  <c r="AN47" i="45" s="1"/>
  <c r="M51" i="45"/>
  <c r="AN51" i="45" s="1"/>
  <c r="AN54" i="45"/>
  <c r="M55" i="45"/>
  <c r="AN55" i="45" s="1"/>
  <c r="AC13" i="47" l="1"/>
  <c r="AD13" i="47"/>
  <c r="AE13" i="47" s="1"/>
  <c r="AD42" i="47"/>
  <c r="AE42" i="47" s="1"/>
  <c r="AC42" i="47"/>
  <c r="F6" i="47"/>
  <c r="F57" i="47" s="1"/>
  <c r="E57" i="47"/>
  <c r="S57" i="47"/>
  <c r="AD31" i="47"/>
  <c r="AE31" i="47" s="1"/>
  <c r="AC31" i="47"/>
  <c r="AJ57" i="47"/>
  <c r="J43" i="47"/>
  <c r="AK43" i="47" s="1"/>
  <c r="J47" i="47"/>
  <c r="AK47" i="47" s="1"/>
  <c r="J41" i="47"/>
  <c r="AK41" i="47" s="1"/>
  <c r="J48" i="47"/>
  <c r="AK48" i="47" s="1"/>
  <c r="J30" i="47"/>
  <c r="AK30" i="47" s="1"/>
  <c r="J54" i="47"/>
  <c r="AK54" i="47" s="1"/>
  <c r="J38" i="47"/>
  <c r="AK38" i="47" s="1"/>
  <c r="J27" i="47"/>
  <c r="AK27" i="47" s="1"/>
  <c r="J28" i="47"/>
  <c r="AK28" i="47" s="1"/>
  <c r="J17" i="47"/>
  <c r="AK17" i="47" s="1"/>
  <c r="J14" i="47"/>
  <c r="AK14" i="47" s="1"/>
  <c r="AC10" i="47"/>
  <c r="AD10" i="47"/>
  <c r="AE10" i="47" s="1"/>
  <c r="AD54" i="47"/>
  <c r="AE54" i="47" s="1"/>
  <c r="AC54" i="47"/>
  <c r="AB57" i="47"/>
  <c r="AC38" i="47"/>
  <c r="AD38" i="47"/>
  <c r="AE38" i="47" s="1"/>
  <c r="J40" i="47"/>
  <c r="AK40" i="47" s="1"/>
  <c r="J52" i="47"/>
  <c r="AK52" i="47" s="1"/>
  <c r="J19" i="47"/>
  <c r="AK19" i="47" s="1"/>
  <c r="J32" i="47"/>
  <c r="AK32" i="47" s="1"/>
  <c r="J25" i="47"/>
  <c r="AK25" i="47" s="1"/>
  <c r="J33" i="47"/>
  <c r="AK33" i="47" s="1"/>
  <c r="J23" i="47"/>
  <c r="AK23" i="47" s="1"/>
  <c r="J24" i="47"/>
  <c r="AK24" i="47" s="1"/>
  <c r="J13" i="47"/>
  <c r="AK13" i="47" s="1"/>
  <c r="J10" i="47"/>
  <c r="AK10" i="47" s="1"/>
  <c r="AC27" i="47"/>
  <c r="AD27" i="47"/>
  <c r="AE27" i="47" s="1"/>
  <c r="J11" i="47"/>
  <c r="AK11" i="47" s="1"/>
  <c r="I57" i="47"/>
  <c r="AC18" i="47"/>
  <c r="AD18" i="47"/>
  <c r="AE18" i="47" s="1"/>
  <c r="AC35" i="47"/>
  <c r="AD35" i="47"/>
  <c r="AE35" i="47" s="1"/>
  <c r="AC57" i="47"/>
  <c r="J49" i="47"/>
  <c r="AK49" i="47" s="1"/>
  <c r="J55" i="47"/>
  <c r="AK55" i="47" s="1"/>
  <c r="J44" i="47"/>
  <c r="AK44" i="47" s="1"/>
  <c r="J36" i="47"/>
  <c r="AK36" i="47" s="1"/>
  <c r="J21" i="47"/>
  <c r="AK21" i="47" s="1"/>
  <c r="J31" i="47"/>
  <c r="AK31" i="47" s="1"/>
  <c r="J7" i="47"/>
  <c r="AK7" i="47" s="1"/>
  <c r="J12" i="47"/>
  <c r="AK12" i="47" s="1"/>
  <c r="J18" i="47"/>
  <c r="AK18" i="47" s="1"/>
  <c r="F54" i="45"/>
  <c r="F50" i="45"/>
  <c r="F46" i="45"/>
  <c r="AM46" i="45" s="1"/>
  <c r="F42" i="45"/>
  <c r="AM42" i="45" s="1"/>
  <c r="F38" i="45"/>
  <c r="F34" i="45"/>
  <c r="I58" i="45"/>
  <c r="F30" i="45"/>
  <c r="AM30" i="45" s="1"/>
  <c r="F26" i="45"/>
  <c r="F16" i="45"/>
  <c r="F11" i="45"/>
  <c r="F55" i="45"/>
  <c r="F51" i="45"/>
  <c r="F47" i="45"/>
  <c r="F43" i="45"/>
  <c r="AM43" i="45" s="1"/>
  <c r="F39" i="45"/>
  <c r="F35" i="45"/>
  <c r="F27" i="45"/>
  <c r="F24" i="45"/>
  <c r="F19" i="45"/>
  <c r="AM19" i="45" s="1"/>
  <c r="F8" i="45"/>
  <c r="AN17" i="45"/>
  <c r="H58" i="45"/>
  <c r="AM55" i="45"/>
  <c r="AM54" i="45"/>
  <c r="AM51" i="45"/>
  <c r="AM50" i="45"/>
  <c r="AM47" i="45"/>
  <c r="AM39" i="45"/>
  <c r="AM38" i="45"/>
  <c r="AM35" i="45"/>
  <c r="AM34" i="45"/>
  <c r="AN27" i="45"/>
  <c r="AN26" i="45"/>
  <c r="AN24" i="45"/>
  <c r="AN16" i="45"/>
  <c r="AN8" i="45"/>
  <c r="AN58" i="45" s="1"/>
  <c r="AN7" i="45"/>
  <c r="AN29" i="45"/>
  <c r="AN30" i="45"/>
  <c r="AN19" i="45"/>
  <c r="AN11" i="45"/>
  <c r="AN28" i="45"/>
  <c r="AN22" i="45"/>
  <c r="AN18" i="45"/>
  <c r="AN13" i="45"/>
  <c r="AN31" i="45"/>
  <c r="AN9" i="45"/>
  <c r="AM10" i="45"/>
  <c r="AN25" i="45"/>
  <c r="AN21" i="45"/>
  <c r="AN14" i="45"/>
  <c r="AN10" i="45"/>
  <c r="AE58" i="45"/>
  <c r="AF7" i="45"/>
  <c r="AF58" i="45" s="1"/>
  <c r="AG7" i="45"/>
  <c r="AH7" i="45" s="1"/>
  <c r="V58" i="45"/>
  <c r="AM27" i="45"/>
  <c r="AM26" i="45"/>
  <c r="AM24" i="45"/>
  <c r="AM16" i="45"/>
  <c r="AM11" i="45"/>
  <c r="AM8" i="45"/>
  <c r="M58" i="45"/>
  <c r="F29" i="45"/>
  <c r="AM29" i="45" s="1"/>
  <c r="F25" i="45"/>
  <c r="AM25" i="45" s="1"/>
  <c r="F21" i="45"/>
  <c r="AM21" i="45" s="1"/>
  <c r="F17" i="45"/>
  <c r="AM17" i="45" s="1"/>
  <c r="F13" i="45"/>
  <c r="AM13" i="45" s="1"/>
  <c r="F9" i="45"/>
  <c r="AM9" i="45" s="1"/>
  <c r="AM57" i="45"/>
  <c r="AM56" i="45"/>
  <c r="AM53" i="45"/>
  <c r="AM52" i="45"/>
  <c r="AM49" i="45"/>
  <c r="AM48" i="45"/>
  <c r="AM45" i="45"/>
  <c r="AM44" i="45"/>
  <c r="AM41" i="45"/>
  <c r="AM40" i="45"/>
  <c r="AM37" i="45"/>
  <c r="AM36" i="45"/>
  <c r="AM33" i="45"/>
  <c r="AM32" i="45"/>
  <c r="AM31" i="45"/>
  <c r="AM23" i="45"/>
  <c r="AM20" i="45"/>
  <c r="AM15" i="45"/>
  <c r="AM12" i="45"/>
  <c r="F7" i="45"/>
  <c r="F28" i="45"/>
  <c r="AM28" i="45" s="1"/>
  <c r="F22" i="45"/>
  <c r="AM22" i="45" s="1"/>
  <c r="F18" i="45"/>
  <c r="AM18" i="45" s="1"/>
  <c r="F14" i="45"/>
  <c r="AM14" i="45" s="1"/>
  <c r="J6" i="47" l="1"/>
  <c r="AE57" i="47"/>
  <c r="AH58" i="45"/>
  <c r="F58" i="45"/>
  <c r="AM7" i="45"/>
  <c r="AF28" i="47" l="1"/>
  <c r="AG28" i="47" s="1"/>
  <c r="AH28" i="47" s="1"/>
  <c r="AL28" i="47" s="1"/>
  <c r="AM28" i="47" s="1"/>
  <c r="AF32" i="47"/>
  <c r="AG32" i="47" s="1"/>
  <c r="AH32" i="47" s="1"/>
  <c r="AL32" i="47" s="1"/>
  <c r="AM32" i="47" s="1"/>
  <c r="AF6" i="47"/>
  <c r="AF20" i="47"/>
  <c r="AG20" i="47" s="1"/>
  <c r="AH20" i="47" s="1"/>
  <c r="AL20" i="47" s="1"/>
  <c r="AM20" i="47" s="1"/>
  <c r="AF50" i="47"/>
  <c r="AG50" i="47" s="1"/>
  <c r="AH50" i="47" s="1"/>
  <c r="AL50" i="47" s="1"/>
  <c r="AM50" i="47" s="1"/>
  <c r="AF39" i="47"/>
  <c r="AG39" i="47" s="1"/>
  <c r="AH39" i="47" s="1"/>
  <c r="AL39" i="47" s="1"/>
  <c r="AM39" i="47" s="1"/>
  <c r="AF17" i="47"/>
  <c r="AG17" i="47" s="1"/>
  <c r="AH17" i="47" s="1"/>
  <c r="AL17" i="47" s="1"/>
  <c r="AM17" i="47" s="1"/>
  <c r="AF14" i="47"/>
  <c r="AG14" i="47" s="1"/>
  <c r="AH14" i="47" s="1"/>
  <c r="AL14" i="47" s="1"/>
  <c r="AM14" i="47" s="1"/>
  <c r="AF12" i="47"/>
  <c r="AG12" i="47" s="1"/>
  <c r="AH12" i="47" s="1"/>
  <c r="AL12" i="47" s="1"/>
  <c r="AM12" i="47" s="1"/>
  <c r="AF26" i="47"/>
  <c r="AG26" i="47" s="1"/>
  <c r="AH26" i="47" s="1"/>
  <c r="AL26" i="47" s="1"/>
  <c r="AM26" i="47" s="1"/>
  <c r="AF9" i="47"/>
  <c r="AG9" i="47" s="1"/>
  <c r="AH9" i="47" s="1"/>
  <c r="AL9" i="47" s="1"/>
  <c r="AM9" i="47" s="1"/>
  <c r="AF23" i="47"/>
  <c r="AG23" i="47" s="1"/>
  <c r="AH23" i="47" s="1"/>
  <c r="AL23" i="47" s="1"/>
  <c r="AM23" i="47" s="1"/>
  <c r="AF53" i="47"/>
  <c r="AG53" i="47" s="1"/>
  <c r="AH53" i="47" s="1"/>
  <c r="AL53" i="47" s="1"/>
  <c r="AM53" i="47" s="1"/>
  <c r="AF21" i="47"/>
  <c r="AG21" i="47" s="1"/>
  <c r="AH21" i="47" s="1"/>
  <c r="AL21" i="47" s="1"/>
  <c r="AM21" i="47" s="1"/>
  <c r="AF34" i="47"/>
  <c r="AG34" i="47" s="1"/>
  <c r="AH34" i="47" s="1"/>
  <c r="AL34" i="47" s="1"/>
  <c r="AM34" i="47" s="1"/>
  <c r="AF36" i="47"/>
  <c r="AG36" i="47" s="1"/>
  <c r="AH36" i="47" s="1"/>
  <c r="AL36" i="47" s="1"/>
  <c r="AM36" i="47" s="1"/>
  <c r="AF52" i="47"/>
  <c r="AG52" i="47" s="1"/>
  <c r="AH52" i="47" s="1"/>
  <c r="AL52" i="47" s="1"/>
  <c r="AM52" i="47" s="1"/>
  <c r="AF45" i="47"/>
  <c r="AG45" i="47" s="1"/>
  <c r="AH45" i="47" s="1"/>
  <c r="AL45" i="47" s="1"/>
  <c r="AM45" i="47" s="1"/>
  <c r="AF8" i="47"/>
  <c r="AG8" i="47" s="1"/>
  <c r="AH8" i="47" s="1"/>
  <c r="AL8" i="47" s="1"/>
  <c r="AM8" i="47" s="1"/>
  <c r="AF25" i="47"/>
  <c r="AG25" i="47" s="1"/>
  <c r="AH25" i="47" s="1"/>
  <c r="AL25" i="47" s="1"/>
  <c r="AM25" i="47" s="1"/>
  <c r="AF16" i="47"/>
  <c r="AG16" i="47" s="1"/>
  <c r="AH16" i="47" s="1"/>
  <c r="AL16" i="47" s="1"/>
  <c r="AM16" i="47" s="1"/>
  <c r="AF46" i="47"/>
  <c r="AG46" i="47" s="1"/>
  <c r="AH46" i="47" s="1"/>
  <c r="AL46" i="47" s="1"/>
  <c r="AM46" i="47" s="1"/>
  <c r="AF37" i="47"/>
  <c r="AG37" i="47" s="1"/>
  <c r="AH37" i="47" s="1"/>
  <c r="AL37" i="47" s="1"/>
  <c r="AM37" i="47" s="1"/>
  <c r="AF19" i="47"/>
  <c r="AG19" i="47" s="1"/>
  <c r="AH19" i="47" s="1"/>
  <c r="AL19" i="47" s="1"/>
  <c r="AM19" i="47" s="1"/>
  <c r="AF24" i="47"/>
  <c r="AG24" i="47" s="1"/>
  <c r="AH24" i="47" s="1"/>
  <c r="AL24" i="47" s="1"/>
  <c r="AM24" i="47" s="1"/>
  <c r="AF44" i="47"/>
  <c r="AG44" i="47" s="1"/>
  <c r="AH44" i="47" s="1"/>
  <c r="AL44" i="47" s="1"/>
  <c r="AM44" i="47" s="1"/>
  <c r="AF29" i="47"/>
  <c r="AG29" i="47" s="1"/>
  <c r="AH29" i="47" s="1"/>
  <c r="AL29" i="47" s="1"/>
  <c r="AM29" i="47" s="1"/>
  <c r="AF47" i="47"/>
  <c r="AG47" i="47" s="1"/>
  <c r="AH47" i="47" s="1"/>
  <c r="AL47" i="47" s="1"/>
  <c r="AM47" i="47" s="1"/>
  <c r="AF40" i="47"/>
  <c r="AG40" i="47" s="1"/>
  <c r="AH40" i="47" s="1"/>
  <c r="AL40" i="47" s="1"/>
  <c r="AM40" i="47" s="1"/>
  <c r="AF55" i="47"/>
  <c r="AG55" i="47" s="1"/>
  <c r="AH55" i="47" s="1"/>
  <c r="AL55" i="47" s="1"/>
  <c r="AM55" i="47" s="1"/>
  <c r="AF15" i="47"/>
  <c r="AG15" i="47" s="1"/>
  <c r="AH15" i="47" s="1"/>
  <c r="AL15" i="47" s="1"/>
  <c r="AM15" i="47" s="1"/>
  <c r="AF30" i="47"/>
  <c r="AG30" i="47" s="1"/>
  <c r="AH30" i="47" s="1"/>
  <c r="AL30" i="47" s="1"/>
  <c r="AM30" i="47" s="1"/>
  <c r="AF33" i="47"/>
  <c r="AG33" i="47" s="1"/>
  <c r="AH33" i="47" s="1"/>
  <c r="AL33" i="47" s="1"/>
  <c r="AM33" i="47" s="1"/>
  <c r="AF49" i="47"/>
  <c r="AG49" i="47" s="1"/>
  <c r="AH49" i="47" s="1"/>
  <c r="AL49" i="47" s="1"/>
  <c r="AM49" i="47" s="1"/>
  <c r="AF51" i="47"/>
  <c r="AG51" i="47" s="1"/>
  <c r="AH51" i="47" s="1"/>
  <c r="AL51" i="47" s="1"/>
  <c r="AM51" i="47" s="1"/>
  <c r="AF22" i="47"/>
  <c r="AG22" i="47" s="1"/>
  <c r="AH22" i="47" s="1"/>
  <c r="AL22" i="47" s="1"/>
  <c r="AM22" i="47" s="1"/>
  <c r="AF43" i="47"/>
  <c r="AG43" i="47" s="1"/>
  <c r="AH43" i="47" s="1"/>
  <c r="AL43" i="47" s="1"/>
  <c r="AM43" i="47" s="1"/>
  <c r="AF7" i="47"/>
  <c r="AG7" i="47" s="1"/>
  <c r="AH7" i="47" s="1"/>
  <c r="AL7" i="47" s="1"/>
  <c r="AM7" i="47" s="1"/>
  <c r="AF11" i="47"/>
  <c r="AG11" i="47" s="1"/>
  <c r="AH11" i="47" s="1"/>
  <c r="AL11" i="47" s="1"/>
  <c r="AM11" i="47" s="1"/>
  <c r="AF41" i="47"/>
  <c r="AG41" i="47" s="1"/>
  <c r="AH41" i="47" s="1"/>
  <c r="AL41" i="47" s="1"/>
  <c r="AM41" i="47" s="1"/>
  <c r="AF56" i="47"/>
  <c r="AG56" i="47" s="1"/>
  <c r="AH56" i="47" s="1"/>
  <c r="AL56" i="47" s="1"/>
  <c r="AM56" i="47" s="1"/>
  <c r="AF48" i="47"/>
  <c r="AG48" i="47" s="1"/>
  <c r="AH48" i="47" s="1"/>
  <c r="AL48" i="47" s="1"/>
  <c r="AM48" i="47" s="1"/>
  <c r="AK6" i="47"/>
  <c r="J57" i="47"/>
  <c r="AF31" i="47"/>
  <c r="AG31" i="47" s="1"/>
  <c r="AH31" i="47" s="1"/>
  <c r="AL31" i="47" s="1"/>
  <c r="AM31" i="47" s="1"/>
  <c r="AF13" i="47"/>
  <c r="AG13" i="47" s="1"/>
  <c r="AH13" i="47" s="1"/>
  <c r="AL13" i="47" s="1"/>
  <c r="AM13" i="47" s="1"/>
  <c r="AF35" i="47"/>
  <c r="AG35" i="47" s="1"/>
  <c r="AH35" i="47" s="1"/>
  <c r="AL35" i="47" s="1"/>
  <c r="AM35" i="47" s="1"/>
  <c r="AF10" i="47"/>
  <c r="AG10" i="47" s="1"/>
  <c r="AH10" i="47" s="1"/>
  <c r="AL10" i="47" s="1"/>
  <c r="AM10" i="47" s="1"/>
  <c r="AF54" i="47"/>
  <c r="AG54" i="47" s="1"/>
  <c r="AH54" i="47" s="1"/>
  <c r="AL54" i="47" s="1"/>
  <c r="AM54" i="47" s="1"/>
  <c r="AF38" i="47"/>
  <c r="AG38" i="47" s="1"/>
  <c r="AH38" i="47" s="1"/>
  <c r="AL38" i="47" s="1"/>
  <c r="AM38" i="47" s="1"/>
  <c r="AF18" i="47"/>
  <c r="AG18" i="47" s="1"/>
  <c r="AH18" i="47" s="1"/>
  <c r="AL18" i="47" s="1"/>
  <c r="AM18" i="47" s="1"/>
  <c r="AF42" i="47"/>
  <c r="AG42" i="47" s="1"/>
  <c r="AH42" i="47" s="1"/>
  <c r="AL42" i="47" s="1"/>
  <c r="AM42" i="47" s="1"/>
  <c r="AF27" i="47"/>
  <c r="AG27" i="47" s="1"/>
  <c r="AH27" i="47" s="1"/>
  <c r="AL27" i="47" s="1"/>
  <c r="AM27" i="47" s="1"/>
  <c r="AI31" i="45"/>
  <c r="AJ31" i="45" s="1"/>
  <c r="AK31" i="45" s="1"/>
  <c r="AO31" i="45" s="1"/>
  <c r="AP31" i="45" s="1"/>
  <c r="AI53" i="45"/>
  <c r="AJ53" i="45" s="1"/>
  <c r="AK53" i="45" s="1"/>
  <c r="AO53" i="45" s="1"/>
  <c r="AP53" i="45" s="1"/>
  <c r="AI45" i="45"/>
  <c r="AJ45" i="45" s="1"/>
  <c r="AK45" i="45" s="1"/>
  <c r="AO45" i="45" s="1"/>
  <c r="AP45" i="45" s="1"/>
  <c r="AI37" i="45"/>
  <c r="AJ37" i="45" s="1"/>
  <c r="AK37" i="45" s="1"/>
  <c r="AO37" i="45" s="1"/>
  <c r="AP37" i="45" s="1"/>
  <c r="AI54" i="45"/>
  <c r="AJ54" i="45" s="1"/>
  <c r="AK54" i="45" s="1"/>
  <c r="AO54" i="45" s="1"/>
  <c r="AP54" i="45" s="1"/>
  <c r="AI46" i="45"/>
  <c r="AJ46" i="45" s="1"/>
  <c r="AK46" i="45" s="1"/>
  <c r="AO46" i="45" s="1"/>
  <c r="AP46" i="45" s="1"/>
  <c r="AI38" i="45"/>
  <c r="AJ38" i="45" s="1"/>
  <c r="AK38" i="45" s="1"/>
  <c r="AO38" i="45" s="1"/>
  <c r="AP38" i="45" s="1"/>
  <c r="AI28" i="45"/>
  <c r="AJ28" i="45" s="1"/>
  <c r="AK28" i="45" s="1"/>
  <c r="AO28" i="45" s="1"/>
  <c r="AP28" i="45" s="1"/>
  <c r="AI18" i="45"/>
  <c r="AJ18" i="45" s="1"/>
  <c r="AK18" i="45" s="1"/>
  <c r="AO18" i="45" s="1"/>
  <c r="AP18" i="45" s="1"/>
  <c r="AI10" i="45"/>
  <c r="AJ10" i="45" s="1"/>
  <c r="AK10" i="45" s="1"/>
  <c r="AO10" i="45" s="1"/>
  <c r="AP10" i="45" s="1"/>
  <c r="AI30" i="45"/>
  <c r="AJ30" i="45" s="1"/>
  <c r="AK30" i="45" s="1"/>
  <c r="AO30" i="45" s="1"/>
  <c r="AP30" i="45" s="1"/>
  <c r="AI24" i="45"/>
  <c r="AJ24" i="45" s="1"/>
  <c r="AK24" i="45" s="1"/>
  <c r="AO24" i="45" s="1"/>
  <c r="AP24" i="45" s="1"/>
  <c r="AI16" i="45"/>
  <c r="AJ16" i="45" s="1"/>
  <c r="AK16" i="45" s="1"/>
  <c r="AO16" i="45" s="1"/>
  <c r="AP16" i="45" s="1"/>
  <c r="AI8" i="45"/>
  <c r="AJ8" i="45" s="1"/>
  <c r="AK8" i="45" s="1"/>
  <c r="AO8" i="45" s="1"/>
  <c r="AP8" i="45" s="1"/>
  <c r="AI52" i="45"/>
  <c r="AJ52" i="45" s="1"/>
  <c r="AK52" i="45" s="1"/>
  <c r="AO52" i="45" s="1"/>
  <c r="AP52" i="45" s="1"/>
  <c r="AI44" i="45"/>
  <c r="AJ44" i="45" s="1"/>
  <c r="AK44" i="45" s="1"/>
  <c r="AO44" i="45" s="1"/>
  <c r="AP44" i="45" s="1"/>
  <c r="AI36" i="45"/>
  <c r="AJ36" i="45" s="1"/>
  <c r="AK36" i="45" s="1"/>
  <c r="AO36" i="45" s="1"/>
  <c r="AP36" i="45" s="1"/>
  <c r="AI55" i="45"/>
  <c r="AJ55" i="45" s="1"/>
  <c r="AK55" i="45" s="1"/>
  <c r="AO55" i="45" s="1"/>
  <c r="AP55" i="45" s="1"/>
  <c r="AI47" i="45"/>
  <c r="AJ47" i="45" s="1"/>
  <c r="AK47" i="45" s="1"/>
  <c r="AO47" i="45" s="1"/>
  <c r="AP47" i="45" s="1"/>
  <c r="AI39" i="45"/>
  <c r="AJ39" i="45" s="1"/>
  <c r="AK39" i="45" s="1"/>
  <c r="AO39" i="45" s="1"/>
  <c r="AP39" i="45" s="1"/>
  <c r="AI25" i="45"/>
  <c r="AJ25" i="45" s="1"/>
  <c r="AK25" i="45" s="1"/>
  <c r="AO25" i="45" s="1"/>
  <c r="AP25" i="45" s="1"/>
  <c r="AI17" i="45"/>
  <c r="AJ17" i="45" s="1"/>
  <c r="AK17" i="45" s="1"/>
  <c r="AO17" i="45" s="1"/>
  <c r="AP17" i="45" s="1"/>
  <c r="AI9" i="45"/>
  <c r="AJ9" i="45" s="1"/>
  <c r="AK9" i="45" s="1"/>
  <c r="AO9" i="45" s="1"/>
  <c r="AP9" i="45" s="1"/>
  <c r="AI23" i="45"/>
  <c r="AJ23" i="45" s="1"/>
  <c r="AK23" i="45" s="1"/>
  <c r="AO23" i="45" s="1"/>
  <c r="AP23" i="45" s="1"/>
  <c r="AI15" i="45"/>
  <c r="AJ15" i="45" s="1"/>
  <c r="AK15" i="45" s="1"/>
  <c r="AO15" i="45" s="1"/>
  <c r="AP15" i="45" s="1"/>
  <c r="AI19" i="45"/>
  <c r="AJ19" i="45" s="1"/>
  <c r="AK19" i="45" s="1"/>
  <c r="AO19" i="45" s="1"/>
  <c r="AP19" i="45" s="1"/>
  <c r="AI57" i="45"/>
  <c r="AJ57" i="45" s="1"/>
  <c r="AK57" i="45" s="1"/>
  <c r="AO57" i="45" s="1"/>
  <c r="AP57" i="45" s="1"/>
  <c r="AI49" i="45"/>
  <c r="AJ49" i="45" s="1"/>
  <c r="AK49" i="45" s="1"/>
  <c r="AO49" i="45" s="1"/>
  <c r="AP49" i="45" s="1"/>
  <c r="AI41" i="45"/>
  <c r="AJ41" i="45" s="1"/>
  <c r="AK41" i="45" s="1"/>
  <c r="AO41" i="45" s="1"/>
  <c r="AP41" i="45" s="1"/>
  <c r="AI33" i="45"/>
  <c r="AJ33" i="45" s="1"/>
  <c r="AK33" i="45" s="1"/>
  <c r="AO33" i="45" s="1"/>
  <c r="AP33" i="45" s="1"/>
  <c r="AI50" i="45"/>
  <c r="AJ50" i="45" s="1"/>
  <c r="AK50" i="45" s="1"/>
  <c r="AO50" i="45" s="1"/>
  <c r="AP50" i="45" s="1"/>
  <c r="AI42" i="45"/>
  <c r="AJ42" i="45" s="1"/>
  <c r="AK42" i="45" s="1"/>
  <c r="AO42" i="45" s="1"/>
  <c r="AP42" i="45" s="1"/>
  <c r="AI34" i="45"/>
  <c r="AJ34" i="45" s="1"/>
  <c r="AK34" i="45" s="1"/>
  <c r="AO34" i="45" s="1"/>
  <c r="AP34" i="45" s="1"/>
  <c r="AI22" i="45"/>
  <c r="AJ22" i="45" s="1"/>
  <c r="AK22" i="45" s="1"/>
  <c r="AO22" i="45" s="1"/>
  <c r="AP22" i="45" s="1"/>
  <c r="AI14" i="45"/>
  <c r="AJ14" i="45" s="1"/>
  <c r="AK14" i="45" s="1"/>
  <c r="AO14" i="45" s="1"/>
  <c r="AP14" i="45" s="1"/>
  <c r="AI26" i="45"/>
  <c r="AJ26" i="45" s="1"/>
  <c r="AK26" i="45" s="1"/>
  <c r="AO26" i="45" s="1"/>
  <c r="AP26" i="45" s="1"/>
  <c r="AI20" i="45"/>
  <c r="AJ20" i="45" s="1"/>
  <c r="AK20" i="45" s="1"/>
  <c r="AO20" i="45" s="1"/>
  <c r="AP20" i="45" s="1"/>
  <c r="AI12" i="45"/>
  <c r="AJ12" i="45" s="1"/>
  <c r="AK12" i="45" s="1"/>
  <c r="AO12" i="45" s="1"/>
  <c r="AP12" i="45" s="1"/>
  <c r="AI56" i="45"/>
  <c r="AJ56" i="45" s="1"/>
  <c r="AK56" i="45" s="1"/>
  <c r="AO56" i="45" s="1"/>
  <c r="AP56" i="45" s="1"/>
  <c r="AI48" i="45"/>
  <c r="AJ48" i="45" s="1"/>
  <c r="AK48" i="45" s="1"/>
  <c r="AO48" i="45" s="1"/>
  <c r="AP48" i="45" s="1"/>
  <c r="AI40" i="45"/>
  <c r="AJ40" i="45" s="1"/>
  <c r="AK40" i="45" s="1"/>
  <c r="AO40" i="45" s="1"/>
  <c r="AP40" i="45" s="1"/>
  <c r="AI32" i="45"/>
  <c r="AJ32" i="45" s="1"/>
  <c r="AK32" i="45" s="1"/>
  <c r="AO32" i="45" s="1"/>
  <c r="AP32" i="45" s="1"/>
  <c r="AI51" i="45"/>
  <c r="AJ51" i="45" s="1"/>
  <c r="AK51" i="45" s="1"/>
  <c r="AO51" i="45" s="1"/>
  <c r="AP51" i="45" s="1"/>
  <c r="AI43" i="45"/>
  <c r="AJ43" i="45" s="1"/>
  <c r="AK43" i="45" s="1"/>
  <c r="AO43" i="45" s="1"/>
  <c r="AP43" i="45" s="1"/>
  <c r="AI35" i="45"/>
  <c r="AJ35" i="45" s="1"/>
  <c r="AK35" i="45" s="1"/>
  <c r="AO35" i="45" s="1"/>
  <c r="AP35" i="45" s="1"/>
  <c r="AI29" i="45"/>
  <c r="AJ29" i="45" s="1"/>
  <c r="AK29" i="45" s="1"/>
  <c r="AO29" i="45" s="1"/>
  <c r="AP29" i="45" s="1"/>
  <c r="AI21" i="45"/>
  <c r="AJ21" i="45" s="1"/>
  <c r="AK21" i="45" s="1"/>
  <c r="AO21" i="45" s="1"/>
  <c r="AP21" i="45" s="1"/>
  <c r="AI13" i="45"/>
  <c r="AJ13" i="45" s="1"/>
  <c r="AK13" i="45" s="1"/>
  <c r="AO13" i="45" s="1"/>
  <c r="AP13" i="45" s="1"/>
  <c r="AI27" i="45"/>
  <c r="AJ27" i="45" s="1"/>
  <c r="AK27" i="45" s="1"/>
  <c r="AO27" i="45" s="1"/>
  <c r="AP27" i="45" s="1"/>
  <c r="AI11" i="45"/>
  <c r="AJ11" i="45" s="1"/>
  <c r="AK11" i="45" s="1"/>
  <c r="AO11" i="45" s="1"/>
  <c r="AP11" i="45" s="1"/>
  <c r="AM58" i="45"/>
  <c r="AI7" i="45"/>
  <c r="AK57" i="47" l="1"/>
  <c r="AG6" i="47"/>
  <c r="AF57" i="47"/>
  <c r="AI58" i="45"/>
  <c r="AJ7" i="45"/>
  <c r="AH6" i="47" l="1"/>
  <c r="AG57" i="47"/>
  <c r="AJ58" i="45"/>
  <c r="AK7" i="45"/>
  <c r="AL6" i="47" l="1"/>
  <c r="AH57" i="47"/>
  <c r="AK58" i="45"/>
  <c r="AO7" i="45"/>
  <c r="AL57" i="47" l="1"/>
  <c r="AM6" i="47"/>
  <c r="AO58" i="45"/>
  <c r="AP7" i="45"/>
  <c r="AM57" i="47" l="1"/>
  <c r="AP58" i="45"/>
  <c r="AN33" i="47" l="1"/>
  <c r="B34" i="49" s="1"/>
  <c r="AN49" i="47"/>
  <c r="B50" i="49" s="1"/>
  <c r="AN42" i="47"/>
  <c r="B43" i="49" s="1"/>
  <c r="AN30" i="47"/>
  <c r="B31" i="49" s="1"/>
  <c r="AN36" i="47"/>
  <c r="B37" i="49" s="1"/>
  <c r="AN18" i="47"/>
  <c r="B19" i="49" s="1"/>
  <c r="AN11" i="47"/>
  <c r="B12" i="49" s="1"/>
  <c r="AN37" i="47"/>
  <c r="B38" i="49" s="1"/>
  <c r="AN17" i="47"/>
  <c r="B18" i="49" s="1"/>
  <c r="AN7" i="47"/>
  <c r="B8" i="49" s="1"/>
  <c r="AN39" i="47"/>
  <c r="B40" i="49" s="1"/>
  <c r="AN31" i="47"/>
  <c r="B32" i="49" s="1"/>
  <c r="AN40" i="47"/>
  <c r="B41" i="49" s="1"/>
  <c r="AN53" i="47"/>
  <c r="B54" i="49" s="1"/>
  <c r="AN44" i="47"/>
  <c r="B45" i="49" s="1"/>
  <c r="AN10" i="47"/>
  <c r="B11" i="49" s="1"/>
  <c r="AN47" i="47"/>
  <c r="B48" i="49" s="1"/>
  <c r="AN23" i="47"/>
  <c r="B24" i="49" s="1"/>
  <c r="AN35" i="47"/>
  <c r="B36" i="49" s="1"/>
  <c r="AN51" i="47"/>
  <c r="B52" i="49" s="1"/>
  <c r="AN8" i="47"/>
  <c r="B9" i="49" s="1"/>
  <c r="AN55" i="47"/>
  <c r="B56" i="49" s="1"/>
  <c r="AN32" i="47"/>
  <c r="B33" i="49" s="1"/>
  <c r="AN56" i="47"/>
  <c r="B57" i="49" s="1"/>
  <c r="AN24" i="47"/>
  <c r="B25" i="49" s="1"/>
  <c r="AN12" i="47"/>
  <c r="B13" i="49" s="1"/>
  <c r="AN38" i="47"/>
  <c r="B39" i="49" s="1"/>
  <c r="AN45" i="47"/>
  <c r="B46" i="49" s="1"/>
  <c r="AN41" i="47"/>
  <c r="B42" i="49" s="1"/>
  <c r="AN19" i="47"/>
  <c r="B20" i="49" s="1"/>
  <c r="AN14" i="47"/>
  <c r="B15" i="49" s="1"/>
  <c r="AN15" i="47"/>
  <c r="B16" i="49" s="1"/>
  <c r="AN34" i="47"/>
  <c r="B35" i="49" s="1"/>
  <c r="AN46" i="47"/>
  <c r="B47" i="49" s="1"/>
  <c r="AN27" i="47"/>
  <c r="B28" i="49" s="1"/>
  <c r="AN43" i="47"/>
  <c r="B44" i="49" s="1"/>
  <c r="AN16" i="47"/>
  <c r="B17" i="49" s="1"/>
  <c r="AN50" i="47"/>
  <c r="B51" i="49" s="1"/>
  <c r="AN48" i="47"/>
  <c r="B49" i="49" s="1"/>
  <c r="AN26" i="47"/>
  <c r="B27" i="49" s="1"/>
  <c r="AN22" i="47"/>
  <c r="B23" i="49" s="1"/>
  <c r="AN25" i="47"/>
  <c r="B26" i="49" s="1"/>
  <c r="AN20" i="47"/>
  <c r="B21" i="49" s="1"/>
  <c r="AN29" i="47"/>
  <c r="B30" i="49" s="1"/>
  <c r="AN9" i="47"/>
  <c r="B10" i="49" s="1"/>
  <c r="AN13" i="47"/>
  <c r="B14" i="49" s="1"/>
  <c r="AN21" i="47"/>
  <c r="B22" i="49" s="1"/>
  <c r="AN54" i="47"/>
  <c r="B55" i="49" s="1"/>
  <c r="AN52" i="47"/>
  <c r="B53" i="49" s="1"/>
  <c r="AN28" i="47"/>
  <c r="B29" i="49" s="1"/>
  <c r="AN6" i="47"/>
  <c r="AQ13" i="45"/>
  <c r="AQ43" i="45"/>
  <c r="AQ48" i="45"/>
  <c r="AQ26" i="45"/>
  <c r="AQ42" i="45"/>
  <c r="AQ21" i="45"/>
  <c r="AQ51" i="45"/>
  <c r="AQ56" i="45"/>
  <c r="AQ14" i="45"/>
  <c r="AQ50" i="45"/>
  <c r="AQ57" i="45"/>
  <c r="AQ9" i="45"/>
  <c r="AQ47" i="45"/>
  <c r="AQ52" i="45"/>
  <c r="AQ30" i="45"/>
  <c r="AQ38" i="45"/>
  <c r="AQ45" i="45"/>
  <c r="AQ33" i="45"/>
  <c r="AQ19" i="45"/>
  <c r="AQ17" i="45"/>
  <c r="AQ55" i="45"/>
  <c r="AQ8" i="45"/>
  <c r="AQ10" i="45"/>
  <c r="AQ46" i="45"/>
  <c r="AQ53" i="45"/>
  <c r="AQ11" i="45"/>
  <c r="AQ29" i="45"/>
  <c r="AQ32" i="45"/>
  <c r="AQ12" i="45"/>
  <c r="AQ22" i="45"/>
  <c r="AQ27" i="45"/>
  <c r="AQ35" i="45"/>
  <c r="AQ40" i="45"/>
  <c r="AQ20" i="45"/>
  <c r="AQ34" i="45"/>
  <c r="AQ41" i="45"/>
  <c r="AQ15" i="45"/>
  <c r="AQ25" i="45"/>
  <c r="AQ36" i="45"/>
  <c r="AQ16" i="45"/>
  <c r="AQ18" i="45"/>
  <c r="AQ54" i="45"/>
  <c r="AQ31" i="45"/>
  <c r="AQ49" i="45"/>
  <c r="AQ23" i="45"/>
  <c r="AQ39" i="45"/>
  <c r="AQ44" i="45"/>
  <c r="AQ24" i="45"/>
  <c r="AQ28" i="45"/>
  <c r="AQ37" i="45"/>
  <c r="AQ7" i="45"/>
  <c r="AN57" i="47" l="1"/>
  <c r="B7" i="49"/>
  <c r="B58" i="49" s="1"/>
  <c r="AQ58" i="45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7" i="42" l="1"/>
  <c r="K55" i="41" l="1"/>
  <c r="J55" i="41"/>
  <c r="I55" i="41"/>
  <c r="H55" i="41"/>
  <c r="G55" i="41"/>
  <c r="F55" i="41"/>
  <c r="E55" i="41"/>
  <c r="D55" i="41"/>
  <c r="C55" i="41"/>
  <c r="B55" i="41"/>
  <c r="M55" i="41" l="1"/>
  <c r="L55" i="41"/>
  <c r="N6" i="41"/>
  <c r="N7" i="41"/>
  <c r="N8" i="41"/>
  <c r="N4" i="41"/>
  <c r="N10" i="41"/>
  <c r="N9" i="41"/>
  <c r="N11" i="41"/>
  <c r="N12" i="41"/>
  <c r="N13" i="41"/>
  <c r="N15" i="41"/>
  <c r="N16" i="41"/>
  <c r="N14" i="41"/>
  <c r="N17" i="41"/>
  <c r="N19" i="41"/>
  <c r="N18" i="41"/>
  <c r="N28" i="41"/>
  <c r="N20" i="41"/>
  <c r="N21" i="41"/>
  <c r="N50" i="41"/>
  <c r="N22" i="41"/>
  <c r="N23" i="41"/>
  <c r="N24" i="41"/>
  <c r="N25" i="41"/>
  <c r="N27" i="41"/>
  <c r="N29" i="41"/>
  <c r="N31" i="41"/>
  <c r="N30" i="41"/>
  <c r="N32" i="41"/>
  <c r="N33" i="41"/>
  <c r="N34" i="41"/>
  <c r="N35" i="41"/>
  <c r="N36" i="41"/>
  <c r="N41" i="41"/>
  <c r="N37" i="41"/>
  <c r="N40" i="41"/>
  <c r="N39" i="41"/>
  <c r="N38" i="41"/>
  <c r="N45" i="41"/>
  <c r="N46" i="41"/>
  <c r="N47" i="41"/>
  <c r="N48" i="41"/>
  <c r="N51" i="41"/>
  <c r="N49" i="41"/>
  <c r="N53" i="41"/>
  <c r="N54" i="41"/>
  <c r="N26" i="41"/>
  <c r="N42" i="41"/>
  <c r="N43" i="41"/>
  <c r="N44" i="41"/>
  <c r="N52" i="41"/>
  <c r="N5" i="41"/>
  <c r="N55" i="41" l="1"/>
  <c r="O5" i="41" l="1"/>
  <c r="O7" i="41"/>
  <c r="O9" i="41"/>
  <c r="O11" i="41"/>
  <c r="O13" i="41"/>
  <c r="O15" i="41"/>
  <c r="O17" i="41"/>
  <c r="O19" i="41"/>
  <c r="O21" i="41"/>
  <c r="O23" i="41"/>
  <c r="O25" i="41"/>
  <c r="O27" i="41"/>
  <c r="O29" i="41"/>
  <c r="O31" i="41"/>
  <c r="O33" i="41"/>
  <c r="O35" i="41"/>
  <c r="O37" i="41"/>
  <c r="O39" i="41"/>
  <c r="O41" i="41"/>
  <c r="O43" i="41"/>
  <c r="O45" i="41"/>
  <c r="O47" i="41"/>
  <c r="O49" i="41"/>
  <c r="O51" i="41"/>
  <c r="O53" i="41"/>
  <c r="O4" i="41"/>
  <c r="O6" i="41"/>
  <c r="O8" i="41"/>
  <c r="O10" i="41"/>
  <c r="O12" i="41"/>
  <c r="O16" i="41"/>
  <c r="O18" i="41"/>
  <c r="O20" i="41"/>
  <c r="O22" i="41"/>
  <c r="O24" i="41"/>
  <c r="O26" i="41"/>
  <c r="O28" i="41"/>
  <c r="O30" i="41"/>
  <c r="O32" i="41"/>
  <c r="O34" i="41"/>
  <c r="O36" i="41"/>
  <c r="O38" i="41"/>
  <c r="O40" i="41"/>
  <c r="O42" i="41"/>
  <c r="O44" i="41"/>
  <c r="O46" i="41"/>
  <c r="O48" i="41"/>
  <c r="O50" i="41"/>
  <c r="O52" i="41"/>
  <c r="O54" i="41"/>
  <c r="O14" i="41"/>
  <c r="O55" i="41" l="1"/>
  <c r="D4" i="39" l="1"/>
  <c r="D22" i="40" l="1"/>
  <c r="D44" i="40"/>
  <c r="D32" i="40"/>
  <c r="D49" i="40"/>
  <c r="B49" i="40" s="1"/>
  <c r="D50" i="42" s="1"/>
  <c r="D18" i="40"/>
  <c r="D31" i="40"/>
  <c r="B31" i="40" s="1"/>
  <c r="D32" i="42" s="1"/>
  <c r="D41" i="40"/>
  <c r="D7" i="40"/>
  <c r="B7" i="40" s="1"/>
  <c r="D8" i="42" s="1"/>
  <c r="D25" i="40"/>
  <c r="D35" i="40"/>
  <c r="D13" i="40"/>
  <c r="D53" i="40"/>
  <c r="B53" i="40" s="1"/>
  <c r="D54" i="42" s="1"/>
  <c r="D40" i="40"/>
  <c r="D47" i="40"/>
  <c r="D36" i="40"/>
  <c r="D27" i="40"/>
  <c r="D37" i="40"/>
  <c r="D20" i="40"/>
  <c r="D50" i="40"/>
  <c r="D14" i="40"/>
  <c r="D24" i="40"/>
  <c r="D8" i="40"/>
  <c r="D26" i="40"/>
  <c r="D38" i="40"/>
  <c r="D43" i="40"/>
  <c r="D11" i="40"/>
  <c r="D39" i="40"/>
  <c r="D54" i="40"/>
  <c r="D17" i="40"/>
  <c r="D52" i="40"/>
  <c r="D9" i="40"/>
  <c r="D48" i="40"/>
  <c r="D33" i="40"/>
  <c r="D42" i="40"/>
  <c r="B42" i="40" s="1"/>
  <c r="D43" i="42" s="1"/>
  <c r="D28" i="40"/>
  <c r="D21" i="40"/>
  <c r="D10" i="40"/>
  <c r="D45" i="40"/>
  <c r="D30" i="40"/>
  <c r="D29" i="40"/>
  <c r="D55" i="40"/>
  <c r="D23" i="40"/>
  <c r="D6" i="40"/>
  <c r="D19" i="40"/>
  <c r="D15" i="40"/>
  <c r="D34" i="40"/>
  <c r="B34" i="40" s="1"/>
  <c r="D35" i="42" s="1"/>
  <c r="D46" i="40"/>
  <c r="D16" i="40"/>
  <c r="B16" i="40" s="1"/>
  <c r="D17" i="42" s="1"/>
  <c r="D51" i="40"/>
  <c r="D12" i="40"/>
  <c r="D5" i="40"/>
  <c r="C51" i="40"/>
  <c r="B51" i="40" s="1"/>
  <c r="D52" i="42" s="1"/>
  <c r="C19" i="40"/>
  <c r="C36" i="40"/>
  <c r="B36" i="40" s="1"/>
  <c r="D37" i="42" s="1"/>
  <c r="C15" i="40"/>
  <c r="C25" i="40"/>
  <c r="B25" i="40" s="1"/>
  <c r="D26" i="42" s="1"/>
  <c r="C42" i="40"/>
  <c r="C10" i="40"/>
  <c r="B10" i="40" s="1"/>
  <c r="D11" i="42" s="1"/>
  <c r="C31" i="40"/>
  <c r="C48" i="40"/>
  <c r="C16" i="40"/>
  <c r="C37" i="40"/>
  <c r="B37" i="40" s="1"/>
  <c r="D38" i="42" s="1"/>
  <c r="C54" i="40"/>
  <c r="C22" i="40"/>
  <c r="B22" i="40" s="1"/>
  <c r="D23" i="42" s="1"/>
  <c r="C46" i="40"/>
  <c r="C52" i="40"/>
  <c r="B52" i="40" s="1"/>
  <c r="D53" i="42" s="1"/>
  <c r="C7" i="40"/>
  <c r="C47" i="40"/>
  <c r="B47" i="40" s="1"/>
  <c r="D48" i="42" s="1"/>
  <c r="C32" i="40"/>
  <c r="C21" i="40"/>
  <c r="C6" i="40"/>
  <c r="C27" i="40"/>
  <c r="C33" i="40"/>
  <c r="C18" i="40"/>
  <c r="C5" i="40"/>
  <c r="C45" i="40"/>
  <c r="B45" i="40" s="1"/>
  <c r="D46" i="42" s="1"/>
  <c r="C30" i="40"/>
  <c r="C43" i="40"/>
  <c r="C9" i="40"/>
  <c r="C28" i="40"/>
  <c r="C49" i="40"/>
  <c r="C17" i="40"/>
  <c r="B17" i="40" s="1"/>
  <c r="D18" i="42" s="1"/>
  <c r="C34" i="40"/>
  <c r="C55" i="40"/>
  <c r="B55" i="40" s="1"/>
  <c r="D56" i="42" s="1"/>
  <c r="C23" i="40"/>
  <c r="C40" i="40"/>
  <c r="C8" i="40"/>
  <c r="C29" i="40"/>
  <c r="C14" i="40"/>
  <c r="C35" i="40"/>
  <c r="C20" i="40"/>
  <c r="C41" i="40"/>
  <c r="C26" i="40"/>
  <c r="C13" i="40"/>
  <c r="C53" i="40"/>
  <c r="C38" i="40"/>
  <c r="B38" i="40" s="1"/>
  <c r="D39" i="42" s="1"/>
  <c r="C44" i="40"/>
  <c r="C12" i="40"/>
  <c r="C50" i="40"/>
  <c r="C39" i="40"/>
  <c r="B39" i="40" s="1"/>
  <c r="D40" i="42" s="1"/>
  <c r="C24" i="40"/>
  <c r="C11" i="40"/>
  <c r="B26" i="40"/>
  <c r="D27" i="42" s="1"/>
  <c r="B28" i="40"/>
  <c r="D29" i="42" s="1"/>
  <c r="B15" i="40"/>
  <c r="D16" i="42" s="1"/>
  <c r="B24" i="40"/>
  <c r="D25" i="42" s="1"/>
  <c r="B27" i="40"/>
  <c r="D28" i="42" s="1"/>
  <c r="B8" i="40"/>
  <c r="D9" i="42" s="1"/>
  <c r="B33" i="40"/>
  <c r="D34" i="42" s="1"/>
  <c r="B46" i="40"/>
  <c r="D47" i="42" s="1"/>
  <c r="B20" i="40"/>
  <c r="D21" i="42" s="1"/>
  <c r="B44" i="40"/>
  <c r="D45" i="42" s="1"/>
  <c r="B54" i="40"/>
  <c r="D55" i="42" s="1"/>
  <c r="B12" i="40"/>
  <c r="D13" i="42" s="1"/>
  <c r="B11" i="40"/>
  <c r="D12" i="42" s="1"/>
  <c r="B29" i="40"/>
  <c r="D30" i="42" s="1"/>
  <c r="B6" i="40"/>
  <c r="D7" i="42" s="1"/>
  <c r="B21" i="40"/>
  <c r="D22" i="42" s="1"/>
  <c r="B5" i="40"/>
  <c r="D6" i="42" s="1"/>
  <c r="B35" i="40"/>
  <c r="D36" i="42" s="1"/>
  <c r="B43" i="40"/>
  <c r="D44" i="42" s="1"/>
  <c r="B50" i="40"/>
  <c r="D51" i="42" s="1"/>
  <c r="B18" i="40"/>
  <c r="D19" i="42" s="1"/>
  <c r="B41" i="40"/>
  <c r="D42" i="42" s="1"/>
  <c r="B9" i="40"/>
  <c r="D10" i="42" s="1"/>
  <c r="B30" i="40"/>
  <c r="D31" i="42" s="1"/>
  <c r="B32" i="40"/>
  <c r="D33" i="42" s="1"/>
  <c r="B19" i="40"/>
  <c r="D20" i="42" s="1"/>
  <c r="B48" i="40"/>
  <c r="D49" i="42" s="1"/>
  <c r="B40" i="40"/>
  <c r="D41" i="42" s="1"/>
  <c r="B23" i="40"/>
  <c r="D24" i="42" s="1"/>
  <c r="B14" i="40"/>
  <c r="D15" i="42" s="1"/>
  <c r="B13" i="40"/>
  <c r="D14" i="42" s="1"/>
  <c r="F14" i="42" l="1"/>
  <c r="I14" i="42"/>
  <c r="J14" i="42" s="1"/>
  <c r="E14" i="42"/>
  <c r="I24" i="42"/>
  <c r="J24" i="42" s="1"/>
  <c r="F24" i="42"/>
  <c r="E24" i="42"/>
  <c r="F49" i="42"/>
  <c r="G49" i="42" s="1"/>
  <c r="H49" i="42" s="1"/>
  <c r="I49" i="42"/>
  <c r="J49" i="42" s="1"/>
  <c r="E49" i="42"/>
  <c r="F33" i="42"/>
  <c r="G33" i="42" s="1"/>
  <c r="H33" i="42" s="1"/>
  <c r="I33" i="42"/>
  <c r="J33" i="42" s="1"/>
  <c r="E33" i="42"/>
  <c r="I42" i="42"/>
  <c r="J42" i="42" s="1"/>
  <c r="F42" i="42"/>
  <c r="E42" i="42"/>
  <c r="E44" i="42"/>
  <c r="I44" i="42"/>
  <c r="J44" i="42" s="1"/>
  <c r="F44" i="42"/>
  <c r="I22" i="42"/>
  <c r="J22" i="42" s="1"/>
  <c r="F22" i="42"/>
  <c r="E22" i="42"/>
  <c r="I30" i="42"/>
  <c r="J30" i="42" s="1"/>
  <c r="F30" i="42"/>
  <c r="E30" i="42"/>
  <c r="F13" i="42"/>
  <c r="G13" i="42" s="1"/>
  <c r="H13" i="42" s="1"/>
  <c r="E13" i="42"/>
  <c r="I13" i="42"/>
  <c r="J13" i="42" s="1"/>
  <c r="F45" i="42"/>
  <c r="G45" i="42" s="1"/>
  <c r="H45" i="42" s="1"/>
  <c r="I45" i="42"/>
  <c r="J45" i="42" s="1"/>
  <c r="E45" i="42"/>
  <c r="I47" i="42"/>
  <c r="J47" i="42" s="1"/>
  <c r="F47" i="42"/>
  <c r="G47" i="42" s="1"/>
  <c r="H47" i="42" s="1"/>
  <c r="E47" i="42"/>
  <c r="I9" i="42"/>
  <c r="J9" i="42" s="1"/>
  <c r="F9" i="42"/>
  <c r="G9" i="42" s="1"/>
  <c r="H9" i="42" s="1"/>
  <c r="E9" i="42"/>
  <c r="I46" i="42"/>
  <c r="J46" i="42" s="1"/>
  <c r="F46" i="42"/>
  <c r="E46" i="42"/>
  <c r="I54" i="42"/>
  <c r="J54" i="42" s="1"/>
  <c r="F54" i="42"/>
  <c r="E54" i="42"/>
  <c r="I38" i="42"/>
  <c r="J38" i="42" s="1"/>
  <c r="F38" i="42"/>
  <c r="E38" i="42"/>
  <c r="E56" i="42"/>
  <c r="I56" i="42"/>
  <c r="J56" i="42" s="1"/>
  <c r="F56" i="42"/>
  <c r="F39" i="42"/>
  <c r="G39" i="42" s="1"/>
  <c r="H39" i="42" s="1"/>
  <c r="I39" i="42"/>
  <c r="J39" i="42" s="1"/>
  <c r="E39" i="42"/>
  <c r="I52" i="42"/>
  <c r="J52" i="42" s="1"/>
  <c r="F52" i="42"/>
  <c r="E52" i="42"/>
  <c r="I48" i="42"/>
  <c r="J48" i="42" s="1"/>
  <c r="F48" i="42"/>
  <c r="E48" i="42"/>
  <c r="F31" i="42"/>
  <c r="G31" i="42" s="1"/>
  <c r="H31" i="42" s="1"/>
  <c r="E31" i="42"/>
  <c r="I31" i="42"/>
  <c r="J31" i="42" s="1"/>
  <c r="I26" i="42"/>
  <c r="J26" i="42" s="1"/>
  <c r="F26" i="42"/>
  <c r="E26" i="42"/>
  <c r="F17" i="42"/>
  <c r="G17" i="42" s="1"/>
  <c r="H17" i="42" s="1"/>
  <c r="E17" i="42"/>
  <c r="I17" i="42"/>
  <c r="J17" i="42" s="1"/>
  <c r="I51" i="42"/>
  <c r="J51" i="42" s="1"/>
  <c r="F51" i="42"/>
  <c r="E51" i="42"/>
  <c r="F23" i="42"/>
  <c r="G23" i="42" s="1"/>
  <c r="H23" i="42" s="1"/>
  <c r="E23" i="42"/>
  <c r="I23" i="42"/>
  <c r="J23" i="42" s="1"/>
  <c r="E6" i="42"/>
  <c r="D57" i="42"/>
  <c r="F6" i="42"/>
  <c r="I6" i="42"/>
  <c r="I7" i="42"/>
  <c r="J7" i="42" s="1"/>
  <c r="E7" i="42"/>
  <c r="F7" i="42"/>
  <c r="G7" i="42" s="1"/>
  <c r="H7" i="42" s="1"/>
  <c r="I8" i="42"/>
  <c r="J8" i="42" s="1"/>
  <c r="E8" i="42"/>
  <c r="F8" i="42"/>
  <c r="I40" i="42"/>
  <c r="J40" i="42" s="1"/>
  <c r="F40" i="42"/>
  <c r="E40" i="42"/>
  <c r="I43" i="42"/>
  <c r="J43" i="42" s="1"/>
  <c r="F43" i="42"/>
  <c r="G43" i="42" s="1"/>
  <c r="H43" i="42" s="1"/>
  <c r="E43" i="42"/>
  <c r="I35" i="42"/>
  <c r="J35" i="42" s="1"/>
  <c r="F35" i="42"/>
  <c r="G35" i="42" s="1"/>
  <c r="H35" i="42" s="1"/>
  <c r="E35" i="42"/>
  <c r="I32" i="42"/>
  <c r="J32" i="42" s="1"/>
  <c r="F32" i="42"/>
  <c r="E32" i="42"/>
  <c r="I53" i="42"/>
  <c r="J53" i="42" s="1"/>
  <c r="F53" i="42"/>
  <c r="E53" i="42"/>
  <c r="I18" i="42"/>
  <c r="J18" i="42" s="1"/>
  <c r="E18" i="42"/>
  <c r="F18" i="42"/>
  <c r="I50" i="42"/>
  <c r="J50" i="42" s="1"/>
  <c r="F50" i="42"/>
  <c r="E50" i="42"/>
  <c r="I37" i="42"/>
  <c r="J37" i="42" s="1"/>
  <c r="F37" i="42"/>
  <c r="G37" i="42" s="1"/>
  <c r="H37" i="42" s="1"/>
  <c r="E37" i="42"/>
  <c r="F11" i="42"/>
  <c r="G11" i="42" s="1"/>
  <c r="H11" i="42" s="1"/>
  <c r="E11" i="42"/>
  <c r="I11" i="42"/>
  <c r="J11" i="42" s="1"/>
  <c r="E16" i="42"/>
  <c r="I16" i="42"/>
  <c r="J16" i="42" s="1"/>
  <c r="F16" i="42"/>
  <c r="I27" i="42"/>
  <c r="J27" i="42" s="1"/>
  <c r="F27" i="42"/>
  <c r="G27" i="42" s="1"/>
  <c r="H27" i="42" s="1"/>
  <c r="E27" i="42"/>
  <c r="F15" i="42"/>
  <c r="E15" i="42"/>
  <c r="I15" i="42"/>
  <c r="J15" i="42" s="1"/>
  <c r="F41" i="42"/>
  <c r="G41" i="42" s="1"/>
  <c r="H41" i="42" s="1"/>
  <c r="I41" i="42"/>
  <c r="J41" i="42" s="1"/>
  <c r="E41" i="42"/>
  <c r="I20" i="42"/>
  <c r="J20" i="42" s="1"/>
  <c r="F20" i="42"/>
  <c r="E20" i="42"/>
  <c r="E10" i="42"/>
  <c r="I10" i="42"/>
  <c r="J10" i="42" s="1"/>
  <c r="F10" i="42"/>
  <c r="G10" i="42" s="1"/>
  <c r="H10" i="42" s="1"/>
  <c r="F19" i="42"/>
  <c r="G19" i="42" s="1"/>
  <c r="H19" i="42" s="1"/>
  <c r="I19" i="42"/>
  <c r="J19" i="42" s="1"/>
  <c r="E19" i="42"/>
  <c r="E36" i="42"/>
  <c r="I36" i="42"/>
  <c r="J36" i="42" s="1"/>
  <c r="F36" i="42"/>
  <c r="I12" i="42"/>
  <c r="J12" i="42" s="1"/>
  <c r="F12" i="42"/>
  <c r="E12" i="42"/>
  <c r="F55" i="42"/>
  <c r="G55" i="42" s="1"/>
  <c r="H55" i="42" s="1"/>
  <c r="E55" i="42"/>
  <c r="I55" i="42"/>
  <c r="J55" i="42" s="1"/>
  <c r="E21" i="42"/>
  <c r="F21" i="42"/>
  <c r="G21" i="42" s="1"/>
  <c r="H21" i="42" s="1"/>
  <c r="I21" i="42"/>
  <c r="J21" i="42" s="1"/>
  <c r="I34" i="42"/>
  <c r="J34" i="42" s="1"/>
  <c r="F34" i="42"/>
  <c r="E34" i="42"/>
  <c r="E28" i="42"/>
  <c r="I28" i="42"/>
  <c r="J28" i="42" s="1"/>
  <c r="F28" i="42"/>
  <c r="F25" i="42"/>
  <c r="G25" i="42" s="1"/>
  <c r="H25" i="42" s="1"/>
  <c r="I25" i="42"/>
  <c r="J25" i="42" s="1"/>
  <c r="E25" i="42"/>
  <c r="I29" i="42"/>
  <c r="J29" i="42" s="1"/>
  <c r="F29" i="42"/>
  <c r="G29" i="42" s="1"/>
  <c r="H29" i="42" s="1"/>
  <c r="E29" i="42"/>
  <c r="D56" i="40"/>
  <c r="B56" i="40"/>
  <c r="C56" i="40"/>
  <c r="G12" i="42" l="1"/>
  <c r="H12" i="42" s="1"/>
  <c r="G36" i="42"/>
  <c r="H36" i="42" s="1"/>
  <c r="G20" i="42"/>
  <c r="H20" i="42" s="1"/>
  <c r="G32" i="42"/>
  <c r="H32" i="42" s="1"/>
  <c r="G6" i="42"/>
  <c r="H6" i="42" s="1"/>
  <c r="G52" i="42"/>
  <c r="H52" i="42" s="1"/>
  <c r="G54" i="42"/>
  <c r="H54" i="42" s="1"/>
  <c r="G30" i="42"/>
  <c r="H30" i="42" s="1"/>
  <c r="G24" i="42"/>
  <c r="H24" i="42" s="1"/>
  <c r="G14" i="42"/>
  <c r="H14" i="42" s="1"/>
  <c r="E57" i="42"/>
  <c r="G28" i="42"/>
  <c r="H28" i="42" s="1"/>
  <c r="G34" i="42"/>
  <c r="H34" i="42" s="1"/>
  <c r="G15" i="42"/>
  <c r="H15" i="42"/>
  <c r="G16" i="42"/>
  <c r="H16" i="42" s="1"/>
  <c r="G50" i="42"/>
  <c r="H50" i="42" s="1"/>
  <c r="G18" i="42"/>
  <c r="H18" i="42"/>
  <c r="G53" i="42"/>
  <c r="H53" i="42" s="1"/>
  <c r="G40" i="42"/>
  <c r="H40" i="42" s="1"/>
  <c r="G8" i="42"/>
  <c r="H8" i="42" s="1"/>
  <c r="I57" i="42"/>
  <c r="J6" i="42"/>
  <c r="F57" i="42"/>
  <c r="H51" i="42"/>
  <c r="G51" i="42"/>
  <c r="G26" i="42"/>
  <c r="H26" i="42" s="1"/>
  <c r="G48" i="42"/>
  <c r="H48" i="42" s="1"/>
  <c r="G56" i="42"/>
  <c r="H56" i="42" s="1"/>
  <c r="G38" i="42"/>
  <c r="H38" i="42" s="1"/>
  <c r="G46" i="42"/>
  <c r="H46" i="42" s="1"/>
  <c r="G22" i="42"/>
  <c r="H22" i="42" s="1"/>
  <c r="G44" i="42"/>
  <c r="H44" i="42" s="1"/>
  <c r="G42" i="42"/>
  <c r="H42" i="42" s="1"/>
  <c r="J57" i="42" l="1"/>
  <c r="G57" i="42"/>
  <c r="H57" i="42"/>
  <c r="K4" i="42" s="1"/>
  <c r="K21" i="42" l="1"/>
  <c r="L21" i="42" s="1"/>
  <c r="K34" i="42"/>
  <c r="L34" i="42" s="1"/>
  <c r="K19" i="42"/>
  <c r="L19" i="42" s="1"/>
  <c r="K16" i="42"/>
  <c r="L16" i="42" s="1"/>
  <c r="K50" i="42"/>
  <c r="L50" i="42" s="1"/>
  <c r="K35" i="42"/>
  <c r="L35" i="42" s="1"/>
  <c r="K7" i="42"/>
  <c r="L7" i="42" s="1"/>
  <c r="K51" i="42"/>
  <c r="L51" i="42" s="1"/>
  <c r="K48" i="42"/>
  <c r="L48" i="42" s="1"/>
  <c r="K38" i="42"/>
  <c r="L38" i="42" s="1"/>
  <c r="K47" i="42"/>
  <c r="L47" i="42" s="1"/>
  <c r="K13" i="42"/>
  <c r="L13" i="42" s="1"/>
  <c r="K44" i="42"/>
  <c r="L44" i="42" s="1"/>
  <c r="K33" i="42"/>
  <c r="L33" i="42" s="1"/>
  <c r="K12" i="42"/>
  <c r="L12" i="42" s="1"/>
  <c r="K41" i="42"/>
  <c r="L41" i="42" s="1"/>
  <c r="K32" i="42"/>
  <c r="L32" i="42" s="1"/>
  <c r="K17" i="42"/>
  <c r="L17" i="42" s="1"/>
  <c r="K30" i="42"/>
  <c r="L30" i="42" s="1"/>
  <c r="K29" i="42"/>
  <c r="L29" i="42" s="1"/>
  <c r="K28" i="42"/>
  <c r="L28" i="42" s="1"/>
  <c r="K55" i="42"/>
  <c r="L55" i="42" s="1"/>
  <c r="K27" i="42"/>
  <c r="L27" i="42" s="1"/>
  <c r="K11" i="42"/>
  <c r="L11" i="42" s="1"/>
  <c r="K53" i="42"/>
  <c r="L53" i="42" s="1"/>
  <c r="K40" i="42"/>
  <c r="L40" i="42" s="1"/>
  <c r="M40" i="42" s="1"/>
  <c r="K26" i="42"/>
  <c r="L26" i="42" s="1"/>
  <c r="K56" i="42"/>
  <c r="L56" i="42" s="1"/>
  <c r="K46" i="42"/>
  <c r="L46" i="42" s="1"/>
  <c r="K45" i="42"/>
  <c r="L45" i="42" s="1"/>
  <c r="K22" i="42"/>
  <c r="L22" i="42" s="1"/>
  <c r="K42" i="42"/>
  <c r="L42" i="42" s="1"/>
  <c r="K25" i="42"/>
  <c r="L25" i="42" s="1"/>
  <c r="K36" i="42"/>
  <c r="L36" i="42" s="1"/>
  <c r="K20" i="42"/>
  <c r="L20" i="42" s="1"/>
  <c r="K15" i="42"/>
  <c r="L15" i="42" s="1"/>
  <c r="K18" i="42"/>
  <c r="L18" i="42" s="1"/>
  <c r="K43" i="42"/>
  <c r="L43" i="42" s="1"/>
  <c r="K23" i="42"/>
  <c r="L23" i="42" s="1"/>
  <c r="K31" i="42"/>
  <c r="L31" i="42" s="1"/>
  <c r="K39" i="42"/>
  <c r="L39" i="42" s="1"/>
  <c r="K9" i="42"/>
  <c r="L9" i="42" s="1"/>
  <c r="K49" i="42"/>
  <c r="L49" i="42" s="1"/>
  <c r="K14" i="42"/>
  <c r="L14" i="42" s="1"/>
  <c r="K10" i="42"/>
  <c r="L10" i="42" s="1"/>
  <c r="K37" i="42"/>
  <c r="L37" i="42" s="1"/>
  <c r="K8" i="42"/>
  <c r="L8" i="42" s="1"/>
  <c r="K52" i="42"/>
  <c r="L52" i="42" s="1"/>
  <c r="K54" i="42"/>
  <c r="L54" i="42" s="1"/>
  <c r="K24" i="42"/>
  <c r="L24" i="42" s="1"/>
  <c r="K6" i="42"/>
  <c r="M24" i="42" l="1"/>
  <c r="M52" i="42"/>
  <c r="M14" i="42"/>
  <c r="M31" i="42"/>
  <c r="M15" i="42"/>
  <c r="M36" i="42"/>
  <c r="M45" i="42"/>
  <c r="M56" i="42"/>
  <c r="M11" i="42"/>
  <c r="M55" i="42"/>
  <c r="M17" i="42"/>
  <c r="M33" i="42"/>
  <c r="M38" i="42"/>
  <c r="M35" i="42"/>
  <c r="L6" i="42"/>
  <c r="K57" i="42"/>
  <c r="M54" i="42"/>
  <c r="M8" i="42"/>
  <c r="M10" i="42"/>
  <c r="M49" i="42"/>
  <c r="M39" i="42"/>
  <c r="M23" i="42"/>
  <c r="M18" i="42"/>
  <c r="M20" i="42"/>
  <c r="M25" i="42"/>
  <c r="M22" i="42"/>
  <c r="M46" i="42"/>
  <c r="M26" i="42"/>
  <c r="M53" i="42"/>
  <c r="M27" i="42"/>
  <c r="M28" i="42"/>
  <c r="M30" i="42"/>
  <c r="M32" i="42"/>
  <c r="M12" i="42"/>
  <c r="M44" i="42"/>
  <c r="M47" i="42"/>
  <c r="M48" i="42"/>
  <c r="M7" i="42"/>
  <c r="M50" i="42"/>
  <c r="M19" i="42"/>
  <c r="M21" i="42"/>
  <c r="M37" i="42"/>
  <c r="M9" i="42"/>
  <c r="M43" i="42"/>
  <c r="M42" i="42"/>
  <c r="M29" i="42"/>
  <c r="M41" i="42"/>
  <c r="M13" i="42"/>
  <c r="M51" i="42"/>
  <c r="M16" i="42"/>
  <c r="M34" i="42"/>
  <c r="M6" i="42" l="1"/>
  <c r="L57" i="42"/>
  <c r="N40" i="42" l="1"/>
  <c r="B41" i="46" s="1"/>
  <c r="M57" i="42"/>
  <c r="N24" i="42"/>
  <c r="B25" i="46" s="1"/>
  <c r="N52" i="42"/>
  <c r="B53" i="46" s="1"/>
  <c r="N14" i="42"/>
  <c r="B15" i="46" s="1"/>
  <c r="N31" i="42"/>
  <c r="B32" i="46" s="1"/>
  <c r="N15" i="42"/>
  <c r="B16" i="46" s="1"/>
  <c r="N36" i="42"/>
  <c r="B37" i="46" s="1"/>
  <c r="N45" i="42"/>
  <c r="B46" i="46" s="1"/>
  <c r="N56" i="42"/>
  <c r="B57" i="46" s="1"/>
  <c r="N11" i="42"/>
  <c r="B12" i="46" s="1"/>
  <c r="N55" i="42"/>
  <c r="B56" i="46" s="1"/>
  <c r="N17" i="42"/>
  <c r="B18" i="46" s="1"/>
  <c r="N33" i="42"/>
  <c r="B34" i="46" s="1"/>
  <c r="N38" i="42"/>
  <c r="B39" i="46" s="1"/>
  <c r="N35" i="42"/>
  <c r="B36" i="46" s="1"/>
  <c r="N54" i="42"/>
  <c r="B55" i="46" s="1"/>
  <c r="N8" i="42"/>
  <c r="B9" i="46" s="1"/>
  <c r="N10" i="42"/>
  <c r="B11" i="46" s="1"/>
  <c r="N49" i="42"/>
  <c r="B50" i="46" s="1"/>
  <c r="N39" i="42"/>
  <c r="B40" i="46" s="1"/>
  <c r="N23" i="42"/>
  <c r="B24" i="46" s="1"/>
  <c r="N20" i="42"/>
  <c r="B21" i="46" s="1"/>
  <c r="N25" i="42"/>
  <c r="B26" i="46" s="1"/>
  <c r="N46" i="42"/>
  <c r="B47" i="46" s="1"/>
  <c r="N53" i="42"/>
  <c r="B54" i="46" s="1"/>
  <c r="N28" i="42"/>
  <c r="B29" i="46" s="1"/>
  <c r="N12" i="42"/>
  <c r="B13" i="46" s="1"/>
  <c r="N47" i="42"/>
  <c r="B48" i="46" s="1"/>
  <c r="N7" i="42"/>
  <c r="B8" i="46" s="1"/>
  <c r="N19" i="42"/>
  <c r="B20" i="46" s="1"/>
  <c r="N9" i="42"/>
  <c r="B10" i="46" s="1"/>
  <c r="N42" i="42"/>
  <c r="B43" i="46" s="1"/>
  <c r="N41" i="42"/>
  <c r="B42" i="46" s="1"/>
  <c r="N51" i="42"/>
  <c r="B52" i="46" s="1"/>
  <c r="N34" i="42"/>
  <c r="B35" i="46" s="1"/>
  <c r="N18" i="42"/>
  <c r="B19" i="46" s="1"/>
  <c r="N22" i="42"/>
  <c r="B23" i="46" s="1"/>
  <c r="N26" i="42"/>
  <c r="B27" i="46" s="1"/>
  <c r="N27" i="42"/>
  <c r="B28" i="46" s="1"/>
  <c r="N30" i="42"/>
  <c r="B31" i="46" s="1"/>
  <c r="N32" i="42"/>
  <c r="B33" i="46" s="1"/>
  <c r="N44" i="42"/>
  <c r="B45" i="46" s="1"/>
  <c r="N48" i="42"/>
  <c r="B49" i="46" s="1"/>
  <c r="N50" i="42"/>
  <c r="B51" i="46" s="1"/>
  <c r="N21" i="42"/>
  <c r="B22" i="46" s="1"/>
  <c r="N37" i="42"/>
  <c r="B38" i="46" s="1"/>
  <c r="N43" i="42"/>
  <c r="B44" i="46" s="1"/>
  <c r="N29" i="42"/>
  <c r="B30" i="46" s="1"/>
  <c r="N13" i="42"/>
  <c r="B14" i="46" s="1"/>
  <c r="N16" i="42"/>
  <c r="B17" i="46" s="1"/>
  <c r="N6" i="42"/>
  <c r="B7" i="46" s="1"/>
  <c r="B58" i="46" s="1"/>
  <c r="N57" i="42" l="1"/>
</calcChain>
</file>

<file path=xl/comments1.xml><?xml version="1.0" encoding="utf-8"?>
<comments xmlns="http://schemas.openxmlformats.org/spreadsheetml/2006/main">
  <authors>
    <author>cesar.rivera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<sst xmlns="http://schemas.openxmlformats.org/spreadsheetml/2006/main" count="658" uniqueCount="228">
  <si>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</si>
  <si>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</si>
  <si>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</si>
  <si>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</si>
  <si>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</si>
  <si>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</si>
  <si>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</si>
  <si>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</si>
  <si>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</si>
  <si>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</si>
  <si>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</si>
  <si>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</si>
  <si>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</si>
  <si>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</si>
  <si>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</si>
  <si>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</si>
  <si>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</si>
  <si>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</si>
  <si>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</si>
  <si>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</si>
  <si>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</si>
  <si>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</si>
  <si>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</si>
  <si>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</si>
  <si>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</si>
  <si>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</si>
  <si>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</si>
  <si>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</si>
  <si>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</si>
  <si>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</si>
  <si>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</si>
  <si>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</si>
  <si>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</si>
  <si>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</si>
  <si>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</si>
  <si>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</si>
  <si>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</si>
  <si>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</si>
  <si>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</si>
  <si>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</si>
  <si>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</si>
  <si>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</si>
  <si>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</si>
  <si>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</si>
  <si>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</si>
  <si>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</si>
  <si>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</si>
  <si>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</si>
  <si>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</si>
  <si>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</si>
  <si>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</si>
  <si>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</si>
  <si>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</si>
  <si>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P=RP/BG</t>
  </si>
  <si>
    <t>ER=P*RP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</si>
  <si>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</si>
  <si>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</si>
  <si>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</si>
  <si>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</si>
  <si>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</si>
  <si>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</si>
  <si>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</si>
  <si>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</si>
  <si>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</si>
  <si>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</si>
  <si>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TE</t>
  </si>
  <si>
    <t>POBLACIÓN Y TERRITORIO</t>
  </si>
  <si>
    <t>CEPT=0.85(PO/∑PO)+0.15(TE/∑TE)</t>
  </si>
  <si>
    <t>CEP= MAE1/∑MAE1</t>
  </si>
  <si>
    <t>MONTO ESTIMADO DE PARTICIPACIONES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</si>
  <si>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</si>
  <si>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</si>
  <si>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</si>
  <si>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</si>
  <si>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</si>
  <si>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</si>
  <si>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</si>
  <si>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</si>
  <si>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</si>
  <si>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</si>
  <si>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</si>
  <si>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</si>
  <si>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</si>
  <si>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</si>
  <si>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</si>
  <si>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</si>
  <si>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</si>
  <si>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</si>
  <si>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</si>
  <si>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</si>
  <si>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</si>
  <si>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</si>
  <si>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</si>
  <si>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</si>
  <si>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</si>
  <si>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</si>
  <si>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</si>
  <si>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</si>
  <si>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</si>
  <si>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</si>
  <si>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</si>
  <si>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</si>
  <si>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</si>
  <si>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</si>
  <si>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</si>
  <si>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</si>
  <si>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</si>
  <si>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</si>
  <si>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</si>
  <si>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</si>
  <si>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</si>
  <si>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</si>
  <si>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</si>
  <si>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</si>
  <si>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</si>
  <si>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</si>
  <si>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</si>
  <si>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</si>
  <si>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</si>
  <si>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</si>
  <si>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Los montos no incluyen descuentos ni compensación alguna.</t>
  </si>
  <si>
    <t>SECRETARÍA DE FINANZAS Y TESORERÍA GENERAL DEL ESTADO</t>
  </si>
  <si>
    <t>DIRECCIÓN DE COORDINACIÓN Y PLANEACIÓN HACENDARIA</t>
  </si>
  <si>
    <t>(PESOS)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</si>
  <si>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</si>
  <si>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</si>
  <si>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</si>
  <si>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</si>
  <si>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</si>
  <si>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</si>
  <si>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</si>
  <si>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</si>
  <si>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</si>
  <si>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</si>
  <si>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</si>
  <si>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</si>
  <si>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2014</t>
  </si>
  <si>
    <t>COEF</t>
  </si>
  <si>
    <t>CERRALVO</t>
  </si>
  <si>
    <t>Impuesto sobre Nóminas</t>
  </si>
  <si>
    <t>ISN</t>
  </si>
  <si>
    <t>50% REC MPIO</t>
  </si>
  <si>
    <t>50% COEF ART14</t>
  </si>
  <si>
    <t>CÁLCULO  DE PARTICIPACIONES DE ISN ESTIMADAS PARA  2016</t>
  </si>
  <si>
    <t xml:space="preserve"> DIFERENCIA ENTRE PARTICIPACIONES ESTIMADAS 2016 MENOS PARTICIPACIONES 2015 MÁS INFLACIÓN</t>
  </si>
  <si>
    <t>MONTOS 2015 MÁS INFLACIÓN DE MUNICIPIOS CON PARTICIPACIÓN  INFERIOR EN 2016</t>
  </si>
  <si>
    <t>MONTO NECESARIO PARA ALCANZAR 2015 MÁS INFLACIÓN
"COMPENSACIÓN"</t>
  </si>
  <si>
    <t>MONTOS 2016 DE MUNICIPIOS CON PARTICIPACIÓN SUPERIOR A 2015 MÁS INFLACIÓN</t>
  </si>
  <si>
    <t>MONTO 2016 POR ENCIMA DE 2015 MÁS INFLACIÓN</t>
  </si>
  <si>
    <t>MONTO A DISMINUIR EN MUNICIPIOS CON CRECIMIENTO SUPERIOR A 2015 MÁS INFLACIÓN</t>
  </si>
  <si>
    <t>MONTO A DISTRIBUIR EN 2016 PARA GARANTIZAR AL MENOS EL PAGO DE 2015 MÁS INFLACIÓN</t>
  </si>
  <si>
    <t>DETERMINACIÓN INCREMENTO 2016 vs PAGO 2015 MÁS INFLACIÓN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</si>
  <si>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</si>
  <si>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</si>
  <si>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</si>
  <si>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</si>
  <si>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</si>
  <si>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</si>
  <si>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</si>
  <si>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*2.13% INFLACIÓN ANUAL 2016 ESPERADA</t>
  </si>
  <si>
    <t>* 7.07%DE CRECIMIENTO DE ESTIMACIÓN 2016 RESPECTO 2015</t>
  </si>
  <si>
    <t>PARTICIPACIÓN DE ISN ESTIMADA 2016</t>
  </si>
  <si>
    <t>PARTICIPACIÓN ISN PAGADA 2015 MÁS INFLACIÓN</t>
  </si>
  <si>
    <t>PARTICIPACIÓN DE ISN PAGADA 2015</t>
  </si>
  <si>
    <t>Municipio</t>
  </si>
  <si>
    <t>FACTURACIÓN  2013
(2009-2013)</t>
  </si>
  <si>
    <t>RECAUDACIÓN 2014</t>
  </si>
  <si>
    <t>PROPORCION DE RECAUDACIÓN</t>
  </si>
  <si>
    <t>RECAUDACIÓN PONDERADO POR EFICIENCIA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</si>
  <si>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</si>
  <si>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</si>
  <si>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CIMP=
0.85(CS2/∑CS2)+0.15(MS/∑MS)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</si>
  <si>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</si>
  <si>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RECAUDACIÓN DE IMPUESTO SOBRE NÓMINAS POR MUNICIPIO EN 2014</t>
  </si>
  <si>
    <t>Fuente: Con Información de la Dir. de Recaudación SFyTGE</t>
  </si>
  <si>
    <t>COEFICIENTE PRELIMINAR DE PARTICIPACIONES</t>
  </si>
  <si>
    <t>Estimación de Recaudación y Participación de Impuesto Sobre Nóminas para 2016</t>
  </si>
  <si>
    <t>Recaudación</t>
  </si>
  <si>
    <t>Participación</t>
  </si>
  <si>
    <t>CÁLCULO DE DISTRIBUCIÓN DE IMPUESTO SOBRE NÓMINAS ESTIMADAS 2016
 SEGÚN ART 16 LCH ANTES DE GARANTÍA</t>
  </si>
  <si>
    <t>DETERMINACIÓN DEL COEFICIENTE DE PARTICIPACIÓN DE IMPUESTO SOBRE NÓMINAS
 PARA EL PRIMER SEMESTRE DE 2016
 (ARTÍCULO 19 LCHNL 2016)</t>
  </si>
  <si>
    <t>COEFICIENTE PRIMER SEMESTRE 2016
 ISN</t>
  </si>
  <si>
    <t xml:space="preserve">  Recaudación de tenencia 2014, DIRECCION DE CONTABILIDAD</t>
  </si>
  <si>
    <t xml:space="preserve">  Censo de población y vivienda, INEGI</t>
  </si>
  <si>
    <t>FUENTE:</t>
  </si>
  <si>
    <t>MAE1=(CEPT*50%)+(CIMP*25%)+(CER*25%)</t>
  </si>
  <si>
    <t>CER*25%</t>
  </si>
  <si>
    <t>CEPT*50%</t>
  </si>
  <si>
    <t>CIMP=0.85(CS2/∑CS2)+0.15(MS/∑MS)</t>
  </si>
  <si>
    <r>
      <t>RT/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RT</t>
    </r>
  </si>
  <si>
    <t>RT</t>
  </si>
  <si>
    <t>MONTO ESTIMADO DE PARTICIPACIÓN</t>
  </si>
  <si>
    <t xml:space="preserve">DISTRIBUCIÓN POR ÍNDICE DE POBREZA </t>
  </si>
  <si>
    <t>DISTRIBUCIÓN POR RECAUDACIÓN DE TENENCIA</t>
  </si>
  <si>
    <t>COEFICIENTE POBLACIÓN Y TERRITORIO</t>
  </si>
  <si>
    <t>ESTRUCTURA
 %</t>
  </si>
  <si>
    <t>COEFICIENTE RECAUDACIÓN DE TENENCIA</t>
  </si>
  <si>
    <t>RECAUDACIÓN TENENCIA 2014</t>
  </si>
  <si>
    <t>IMPUESTO SOBRE TENENCIA O USO DE VEÍCULOS</t>
  </si>
  <si>
    <t>Impuesto sobre Tenencia o uso de Vehículos</t>
  </si>
  <si>
    <t>Estimación de Participaciones por el Impuesto sobre Tenencia o uso de Vehículos para 2016</t>
  </si>
  <si>
    <t>TENENCIA</t>
  </si>
  <si>
    <t>CÁLCULO  DE PARTICIPACIONES ESTIMADAS DE IMPUESTO SOBRE TENENCIA O USO DE VEHÍCULOSPARA  2016</t>
  </si>
  <si>
    <t>CÁLCULO  DE PARTICIPACIONES POR DERECHOS DE CONTROL VEHICULAR</t>
  </si>
  <si>
    <t xml:space="preserve"> ESTIMADAS PARA  2016</t>
  </si>
  <si>
    <t>MUN</t>
  </si>
  <si>
    <t xml:space="preserve">N O M B R E      </t>
  </si>
  <si>
    <t>ESTIMACIÓN DE PARTICIPACIÓN EN 2016</t>
  </si>
  <si>
    <t>ALDAMAS</t>
  </si>
  <si>
    <t>CADEREYTA</t>
  </si>
  <si>
    <t>VILLA DEL CARMEN</t>
  </si>
  <si>
    <t>VILLA DE CHINA</t>
  </si>
  <si>
    <t>DR. ARROYO</t>
  </si>
  <si>
    <t>DR. COSS</t>
  </si>
  <si>
    <t>DR. GONZALEZ</t>
  </si>
  <si>
    <t>VILLA DE GARCIA</t>
  </si>
  <si>
    <t>GRAL. BRAVO</t>
  </si>
  <si>
    <t>GRAL. ESCOBEDO</t>
  </si>
  <si>
    <t>GRAL. TREVINO</t>
  </si>
  <si>
    <t>ZARAGOZA</t>
  </si>
  <si>
    <t>GRAL. ZUAZUA</t>
  </si>
  <si>
    <t>HERRERAS</t>
  </si>
  <si>
    <t>JUÁREZ</t>
  </si>
  <si>
    <t>LAMPAZOS</t>
  </si>
  <si>
    <t>PESQUERÍA</t>
  </si>
  <si>
    <t>RAMONES</t>
  </si>
  <si>
    <t>GARZA GARCIA</t>
  </si>
  <si>
    <t>VILLA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</si>
</sst>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000000%"/>
    <numFmt numFmtId="168" formatCode="#,##0\ &quot;$&quot;;[Red]\-#,##0\ &quot;$&quot;"/>
    <numFmt numFmtId="169" formatCode="&quot;$&quot;\ #,##0.00"/>
    <numFmt numFmtId="170" formatCode="\U\ #,##0.00"/>
    <numFmt numFmtId="171" formatCode="#,##0.0000000;\-#,##0.0000000"/>
    <numFmt numFmtId="172" formatCode="_(* #,##0.000000_);_(* \(#,##0.000000\);_(* &quot;-&quot;??_);_(@_)"/>
    <numFmt numFmtId="173" formatCode="0.00000000%"/>
    <numFmt numFmtId="174" formatCode="0.000000"/>
    <numFmt numFmtId="175" formatCode="0.00000000"/>
    <numFmt numFmtId="176" formatCode="#,##0.00000000;\-#,##0.00000000"/>
    <numFmt numFmtId="177" formatCode="0.0000000000"/>
    <numFmt numFmtId="178" formatCode="0.000000000"/>
    <numFmt numFmtId="179" formatCode="General_)"/>
    <numFmt numFmtId="180" formatCode="_-[$€-2]* #,##0.00_-;\-[$€-2]* #,##0.00_-;_-[$€-2]* &quot;-&quot;??_-"/>
    <numFmt numFmtId="181" formatCode="_-* #,##0_-;\-* #,##0_-;_-* &quot;-&quot;??_-;_-@_-"/>
    <numFmt numFmtId="182" formatCode="_(* #,##0.0000000_);_(* \(#,##0.0000000\);_(* &quot;-&quot;??_);_(@_)"/>
    <numFmt numFmtId="183" formatCode="0.000000%"/>
    <numFmt numFmtId="184" formatCode="#,##0.0000;\-#,##0.0000"/>
    <numFmt numFmtId="185" formatCode="0.0000"/>
    <numFmt numFmtId="186" formatCode="_(* #,##0.00000000_);_(* \(#,##0.00000000\);_(* &quot;-&quot;??_);_(@_)"/>
    <numFmt numFmtId="187" formatCode="0.0000%"/>
    <numFmt numFmtId="188" formatCode="#,##0.000;\-#,##0.000"/>
    <numFmt numFmtId="189" formatCode="#,##0.00000000000;\-#,##0.000000000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9"/>
      <name val="Arial"/>
      <family val="2"/>
    </font>
    <font>
      <sz val="11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9"/>
      <color rgb="FFFF0000"/>
      <name val="MS Sans Serif"/>
      <family val="2"/>
    </font>
    <font>
      <b/>
      <sz val="11"/>
      <name val="MS Sans Serif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7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69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0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0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0" fontId="1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174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29" fillId="0" borderId="0" xfId="37" applyFont="1" applyAlignment="1" applyProtection="1">
      <alignment horizontal="center" vertical="center"/>
      <protection hidden="1"/>
    </xf>
    <xf numFmtId="37" fontId="29" fillId="0" borderId="0" xfId="37" applyFont="1" applyFill="1" applyProtection="1">
      <protection hidden="1"/>
    </xf>
    <xf numFmtId="37" fontId="29" fillId="0" borderId="0" xfId="37" applyFont="1" applyProtection="1"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Protection="1">
      <protection hidden="1"/>
    </xf>
    <xf numFmtId="174" fontId="34" fillId="0" borderId="0" xfId="37" applyNumberFormat="1" applyFont="1" applyFill="1" applyProtection="1">
      <protection hidden="1"/>
    </xf>
    <xf numFmtId="174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9" fillId="0" borderId="0" xfId="37" applyFont="1" applyAlignment="1" applyProtection="1">
      <alignment horizontal="center" vertical="center" wrapText="1"/>
      <protection hidden="1"/>
    </xf>
    <xf numFmtId="37" fontId="34" fillId="0" borderId="0" xfId="37" applyFont="1" applyProtection="1">
      <protection hidden="1"/>
    </xf>
    <xf numFmtId="173" fontId="4" fillId="0" borderId="17" xfId="40" applyNumberFormat="1" applyFont="1" applyFill="1" applyBorder="1" applyProtection="1">
      <protection hidden="1"/>
    </xf>
    <xf numFmtId="174" fontId="4" fillId="0" borderId="17" xfId="40" applyNumberFormat="1" applyFont="1" applyFill="1" applyBorder="1" applyProtection="1">
      <protection hidden="1"/>
    </xf>
    <xf numFmtId="165" fontId="4" fillId="0" borderId="17" xfId="33" applyNumberFormat="1" applyFont="1" applyFill="1" applyBorder="1" applyProtection="1">
      <protection hidden="1"/>
    </xf>
    <xf numFmtId="174" fontId="4" fillId="0" borderId="24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17" xfId="37" applyFont="1" applyFill="1" applyBorder="1" applyAlignment="1" applyProtection="1">
      <protection hidden="1"/>
    </xf>
    <xf numFmtId="176" fontId="4" fillId="0" borderId="17" xfId="37" applyNumberFormat="1" applyFont="1" applyFill="1" applyBorder="1" applyAlignment="1" applyProtection="1">
      <protection hidden="1"/>
    </xf>
    <xf numFmtId="173" fontId="28" fillId="0" borderId="17" xfId="40" applyNumberFormat="1" applyFont="1" applyBorder="1" applyProtection="1">
      <protection hidden="1"/>
    </xf>
    <xf numFmtId="1" fontId="37" fillId="0" borderId="17" xfId="40" applyNumberFormat="1" applyFont="1" applyBorder="1" applyProtection="1">
      <protection hidden="1"/>
    </xf>
    <xf numFmtId="176" fontId="4" fillId="0" borderId="19" xfId="37" applyNumberFormat="1" applyFont="1" applyFill="1" applyBorder="1" applyAlignment="1" applyProtection="1">
      <protection hidden="1"/>
    </xf>
    <xf numFmtId="174" fontId="28" fillId="0" borderId="17" xfId="40" applyNumberFormat="1" applyFont="1" applyBorder="1" applyProtection="1">
      <protection hidden="1"/>
    </xf>
    <xf numFmtId="172" fontId="4" fillId="0" borderId="17" xfId="33" applyNumberFormat="1" applyFont="1" applyFill="1" applyBorder="1" applyProtection="1">
      <protection hidden="1"/>
    </xf>
    <xf numFmtId="165" fontId="4" fillId="0" borderId="24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17" xfId="37" applyFont="1" applyBorder="1" applyProtection="1">
      <protection hidden="1"/>
    </xf>
    <xf numFmtId="175" fontId="4" fillId="0" borderId="18" xfId="40" applyNumberFormat="1" applyFont="1" applyBorder="1" applyProtection="1">
      <protection hidden="1"/>
    </xf>
    <xf numFmtId="173" fontId="4" fillId="0" borderId="20" xfId="40" applyNumberFormat="1" applyFont="1" applyFill="1" applyBorder="1" applyProtection="1">
      <protection hidden="1"/>
    </xf>
    <xf numFmtId="174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4" fontId="4" fillId="0" borderId="25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6" fontId="4" fillId="0" borderId="20" xfId="37" applyNumberFormat="1" applyFont="1" applyFill="1" applyBorder="1" applyAlignment="1" applyProtection="1">
      <protection hidden="1"/>
    </xf>
    <xf numFmtId="173" fontId="28" fillId="0" borderId="20" xfId="40" applyNumberFormat="1" applyFont="1" applyBorder="1" applyProtection="1">
      <protection hidden="1"/>
    </xf>
    <xf numFmtId="1" fontId="37" fillId="0" borderId="20" xfId="40" applyNumberFormat="1" applyFont="1" applyBorder="1" applyProtection="1">
      <protection hidden="1"/>
    </xf>
    <xf numFmtId="176" fontId="4" fillId="0" borderId="21" xfId="37" applyNumberFormat="1" applyFont="1" applyFill="1" applyBorder="1" applyAlignment="1" applyProtection="1">
      <protection hidden="1"/>
    </xf>
    <xf numFmtId="174" fontId="28" fillId="0" borderId="20" xfId="40" applyNumberFormat="1" applyFont="1" applyBorder="1" applyProtection="1">
      <protection hidden="1"/>
    </xf>
    <xf numFmtId="172" fontId="4" fillId="0" borderId="20" xfId="33" applyNumberFormat="1" applyFont="1" applyFill="1" applyBorder="1" applyProtection="1">
      <protection hidden="1"/>
    </xf>
    <xf numFmtId="165" fontId="4" fillId="0" borderId="25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5" fontId="4" fillId="0" borderId="16" xfId="40" applyNumberFormat="1" applyFont="1" applyBorder="1" applyProtection="1">
      <protection hidden="1"/>
    </xf>
    <xf numFmtId="173" fontId="8" fillId="0" borderId="14" xfId="40" applyNumberFormat="1" applyFont="1" applyFill="1" applyBorder="1" applyProtection="1">
      <protection hidden="1"/>
    </xf>
    <xf numFmtId="174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4" fontId="8" fillId="0" borderId="23" xfId="40" applyNumberFormat="1" applyFont="1" applyFill="1" applyBorder="1" applyProtection="1">
      <protection hidden="1"/>
    </xf>
    <xf numFmtId="37" fontId="36" fillId="0" borderId="13" xfId="37" applyFont="1" applyFill="1" applyBorder="1" applyAlignment="1" applyProtection="1">
      <protection hidden="1"/>
    </xf>
    <xf numFmtId="37" fontId="36" fillId="0" borderId="14" xfId="37" applyFont="1" applyFill="1" applyBorder="1" applyAlignment="1" applyProtection="1">
      <protection hidden="1"/>
    </xf>
    <xf numFmtId="171" fontId="36" fillId="0" borderId="14" xfId="37" applyNumberFormat="1" applyFont="1" applyFill="1" applyBorder="1" applyAlignment="1" applyProtection="1">
      <protection hidden="1"/>
    </xf>
    <xf numFmtId="173" fontId="30" fillId="0" borderId="14" xfId="40" applyNumberFormat="1" applyFont="1" applyBorder="1" applyProtection="1">
      <protection hidden="1"/>
    </xf>
    <xf numFmtId="1" fontId="38" fillId="0" borderId="14" xfId="40" applyNumberFormat="1" applyFont="1" applyBorder="1" applyProtection="1">
      <protection hidden="1"/>
    </xf>
    <xf numFmtId="171" fontId="36" fillId="0" borderId="22" xfId="37" applyNumberFormat="1" applyFont="1" applyFill="1" applyBorder="1" applyAlignment="1" applyProtection="1">
      <protection hidden="1"/>
    </xf>
    <xf numFmtId="174" fontId="30" fillId="0" borderId="14" xfId="40" applyNumberFormat="1" applyFont="1" applyBorder="1" applyProtection="1">
      <protection hidden="1"/>
    </xf>
    <xf numFmtId="167" fontId="8" fillId="0" borderId="14" xfId="40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72" fontId="8" fillId="0" borderId="14" xfId="33" applyNumberFormat="1" applyFont="1" applyFill="1" applyBorder="1" applyProtection="1">
      <protection hidden="1"/>
    </xf>
    <xf numFmtId="165" fontId="8" fillId="0" borderId="23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5" fontId="8" fillId="0" borderId="15" xfId="40" applyNumberFormat="1" applyFont="1" applyBorder="1" applyProtection="1">
      <protection hidden="1"/>
    </xf>
    <xf numFmtId="174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5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4" fontId="4" fillId="0" borderId="0" xfId="37" applyNumberFormat="1" applyFont="1" applyFill="1" applyProtection="1">
      <protection hidden="1"/>
    </xf>
    <xf numFmtId="175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7" fontId="41" fillId="0" borderId="0" xfId="37" applyFont="1" applyAlignment="1" applyProtection="1">
      <alignment horizontal="center"/>
      <protection hidden="1"/>
    </xf>
    <xf numFmtId="37" fontId="29" fillId="0" borderId="0" xfId="37" applyFont="1" applyFill="1" applyBorder="1" applyAlignment="1" applyProtection="1">
      <alignment horizontal="center" vertical="center" wrapText="1"/>
      <protection hidden="1"/>
    </xf>
    <xf numFmtId="177" fontId="4" fillId="0" borderId="17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78" fontId="4" fillId="0" borderId="17" xfId="40" applyNumberFormat="1" applyFont="1" applyFill="1" applyBorder="1" applyProtection="1">
      <protection hidden="1"/>
    </xf>
    <xf numFmtId="178" fontId="4" fillId="0" borderId="20" xfId="40" applyNumberFormat="1" applyFont="1" applyFill="1" applyBorder="1" applyProtection="1">
      <protection hidden="1"/>
    </xf>
    <xf numFmtId="178" fontId="8" fillId="0" borderId="14" xfId="40" applyNumberFormat="1" applyFont="1" applyFill="1" applyBorder="1" applyProtection="1">
      <protection hidden="1"/>
    </xf>
    <xf numFmtId="175" fontId="4" fillId="0" borderId="18" xfId="40" applyNumberFormat="1" applyFont="1" applyFill="1" applyBorder="1" applyProtection="1">
      <protection hidden="1"/>
    </xf>
    <xf numFmtId="175" fontId="4" fillId="0" borderId="16" xfId="40" applyNumberFormat="1" applyFont="1" applyFill="1" applyBorder="1" applyProtection="1">
      <protection hidden="1"/>
    </xf>
    <xf numFmtId="175" fontId="8" fillId="0" borderId="15" xfId="40" applyNumberFormat="1" applyFont="1" applyFill="1" applyBorder="1" applyProtection="1">
      <protection hidden="1"/>
    </xf>
    <xf numFmtId="37" fontId="41" fillId="0" borderId="0" xfId="37" applyFont="1" applyAlignment="1" applyProtection="1">
      <protection hidden="1"/>
    </xf>
    <xf numFmtId="165" fontId="30" fillId="0" borderId="14" xfId="33" applyNumberFormat="1" applyFont="1" applyFill="1" applyBorder="1" applyProtection="1">
      <protection hidden="1"/>
    </xf>
    <xf numFmtId="0" fontId="4" fillId="0" borderId="0" xfId="53"/>
    <xf numFmtId="0" fontId="8" fillId="0" borderId="27" xfId="53" applyFont="1" applyBorder="1" applyAlignment="1">
      <alignment horizontal="center" vertical="center" wrapText="1"/>
    </xf>
    <xf numFmtId="0" fontId="4" fillId="0" borderId="27" xfId="53" applyFont="1" applyBorder="1" applyAlignment="1">
      <alignment vertical="center" wrapText="1"/>
    </xf>
    <xf numFmtId="3" fontId="4" fillId="0" borderId="27" xfId="53" applyNumberFormat="1" applyFont="1" applyBorder="1" applyAlignment="1">
      <alignment horizontal="center" vertical="center" wrapText="1"/>
    </xf>
    <xf numFmtId="0" fontId="4" fillId="0" borderId="27" xfId="53" applyFont="1" applyBorder="1" applyAlignment="1">
      <alignment horizontal="center" vertical="center" wrapText="1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1" fontId="0" fillId="0" borderId="0" xfId="51" applyNumberFormat="1" applyFont="1"/>
    <xf numFmtId="181" fontId="4" fillId="0" borderId="0" xfId="51" applyNumberFormat="1" applyFont="1"/>
    <xf numFmtId="181" fontId="8" fillId="0" borderId="28" xfId="51" applyNumberFormat="1" applyFont="1" applyFill="1" applyBorder="1" applyAlignment="1">
      <alignment horizontal="center" vertical="center" wrapText="1"/>
    </xf>
    <xf numFmtId="181" fontId="8" fillId="0" borderId="29" xfId="51" applyNumberFormat="1" applyFont="1" applyFill="1" applyBorder="1" applyAlignment="1">
      <alignment horizontal="center" vertical="center" wrapText="1"/>
    </xf>
    <xf numFmtId="181" fontId="8" fillId="0" borderId="30" xfId="51" applyNumberFormat="1" applyFont="1" applyFill="1" applyBorder="1"/>
    <xf numFmtId="181" fontId="0" fillId="0" borderId="0" xfId="51" applyNumberFormat="1" applyFont="1" applyFill="1" applyBorder="1"/>
    <xf numFmtId="181" fontId="8" fillId="0" borderId="28" xfId="51" applyNumberFormat="1" applyFont="1" applyFill="1" applyBorder="1"/>
    <xf numFmtId="181" fontId="8" fillId="0" borderId="29" xfId="51" applyNumberFormat="1" applyFont="1" applyFill="1" applyBorder="1"/>
    <xf numFmtId="181" fontId="8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3" fillId="0" borderId="0" xfId="101"/>
    <xf numFmtId="182" fontId="3" fillId="0" borderId="0" xfId="33" applyNumberFormat="1" applyFont="1"/>
    <xf numFmtId="37" fontId="5" fillId="0" borderId="0" xfId="37" applyFont="1" applyProtection="1">
      <protection hidden="1"/>
    </xf>
    <xf numFmtId="37" fontId="4" fillId="0" borderId="31" xfId="37" applyFont="1" applyBorder="1" applyAlignment="1" applyProtection="1">
      <alignment wrapText="1"/>
      <protection hidden="1"/>
    </xf>
    <xf numFmtId="183" fontId="45" fillId="0" borderId="0" xfId="40" applyNumberFormat="1" applyFont="1" applyProtection="1">
      <protection hidden="1"/>
    </xf>
    <xf numFmtId="49" fontId="42" fillId="0" borderId="10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2" xfId="54" applyNumberFormat="1" applyFont="1" applyFill="1" applyBorder="1" applyAlignment="1" applyProtection="1">
      <alignment horizontal="center" vertical="center" wrapText="1"/>
      <protection hidden="1"/>
    </xf>
    <xf numFmtId="10" fontId="42" fillId="0" borderId="35" xfId="56" applyNumberFormat="1" applyFont="1" applyFill="1" applyBorder="1" applyAlignment="1" applyProtection="1">
      <alignment horizontal="center" vertical="center" wrapText="1"/>
      <protection hidden="1"/>
    </xf>
    <xf numFmtId="10" fontId="42" fillId="0" borderId="10" xfId="56" applyNumberFormat="1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7" fillId="0" borderId="0" xfId="37" applyFont="1" applyBorder="1" applyAlignment="1" applyProtection="1">
      <alignment horizontal="center" vertical="center" wrapText="1"/>
      <protection hidden="1"/>
    </xf>
    <xf numFmtId="37" fontId="48" fillId="0" borderId="0" xfId="37" applyFont="1" applyBorder="1" applyAlignment="1" applyProtection="1">
      <alignment horizontal="center" vertical="center" wrapText="1"/>
      <protection hidden="1"/>
    </xf>
    <xf numFmtId="184" fontId="48" fillId="0" borderId="0" xfId="37" applyNumberFormat="1" applyFont="1" applyBorder="1" applyAlignment="1" applyProtection="1">
      <alignment horizontal="center" vertical="center" wrapText="1"/>
      <protection hidden="1"/>
    </xf>
    <xf numFmtId="37" fontId="4" fillId="0" borderId="17" xfId="37" applyFont="1" applyFill="1" applyBorder="1" applyAlignment="1" applyProtection="1">
      <alignment horizontal="right"/>
      <protection hidden="1"/>
    </xf>
    <xf numFmtId="185" fontId="5" fillId="0" borderId="17" xfId="40" applyNumberFormat="1" applyFont="1" applyFill="1" applyBorder="1" applyProtection="1">
      <protection hidden="1"/>
    </xf>
    <xf numFmtId="186" fontId="45" fillId="0" borderId="18" xfId="33" applyNumberFormat="1" applyFont="1" applyFill="1" applyBorder="1" applyProtection="1"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185" fontId="5" fillId="0" borderId="20" xfId="40" applyNumberFormat="1" applyFont="1" applyFill="1" applyBorder="1" applyProtection="1">
      <protection hidden="1"/>
    </xf>
    <xf numFmtId="186" fontId="45" fillId="0" borderId="16" xfId="33" applyNumberFormat="1" applyFont="1" applyFill="1" applyBorder="1" applyProtection="1">
      <protection hidden="1"/>
    </xf>
    <xf numFmtId="37" fontId="5" fillId="0" borderId="0" xfId="37" applyFont="1" applyFill="1" applyProtection="1"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185" fontId="46" fillId="0" borderId="14" xfId="40" applyNumberFormat="1" applyFont="1" applyFill="1" applyBorder="1" applyProtection="1">
      <protection hidden="1"/>
    </xf>
    <xf numFmtId="186" fontId="49" fillId="0" borderId="15" xfId="33" applyNumberFormat="1" applyFont="1" applyFill="1" applyBorder="1" applyProtection="1">
      <protection hidden="1"/>
    </xf>
    <xf numFmtId="37" fontId="46" fillId="0" borderId="0" xfId="37" applyFont="1" applyProtection="1">
      <protection hidden="1"/>
    </xf>
    <xf numFmtId="173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2" fontId="46" fillId="0" borderId="0" xfId="33" applyNumberFormat="1" applyFont="1" applyFill="1" applyBorder="1" applyProtection="1">
      <protection hidden="1"/>
    </xf>
    <xf numFmtId="164" fontId="5" fillId="0" borderId="0" xfId="33" applyFont="1" applyBorder="1" applyProtection="1">
      <protection hidden="1"/>
    </xf>
    <xf numFmtId="183" fontId="45" fillId="0" borderId="0" xfId="40" applyNumberFormat="1" applyFont="1" applyBorder="1" applyProtection="1">
      <protection hidden="1"/>
    </xf>
    <xf numFmtId="37" fontId="50" fillId="0" borderId="0" xfId="37" applyFont="1" applyProtection="1">
      <protection hidden="1"/>
    </xf>
    <xf numFmtId="187" fontId="5" fillId="0" borderId="0" xfId="40" applyNumberFormat="1" applyFont="1" applyProtection="1">
      <protection hidden="1"/>
    </xf>
    <xf numFmtId="188" fontId="5" fillId="0" borderId="0" xfId="37" applyNumberFormat="1" applyFont="1" applyProtection="1">
      <protection hidden="1"/>
    </xf>
    <xf numFmtId="189" fontId="5" fillId="0" borderId="0" xfId="37" applyNumberFormat="1" applyFont="1" applyProtection="1">
      <protection hidden="1"/>
    </xf>
    <xf numFmtId="37" fontId="5" fillId="0" borderId="0" xfId="37" applyNumberFormat="1" applyFont="1" applyProtection="1">
      <protection hidden="1"/>
    </xf>
    <xf numFmtId="184" fontId="5" fillId="0" borderId="0" xfId="37" applyNumberFormat="1" applyFont="1" applyProtection="1">
      <protection hidden="1"/>
    </xf>
    <xf numFmtId="0" fontId="34" fillId="0" borderId="0" xfId="53" applyFont="1"/>
    <xf numFmtId="0" fontId="4" fillId="0" borderId="0" xfId="53" applyFont="1" applyBorder="1" applyAlignment="1">
      <alignment vertical="center" wrapText="1"/>
    </xf>
    <xf numFmtId="3" fontId="4" fillId="0" borderId="0" xfId="53" applyNumberFormat="1" applyFont="1" applyBorder="1" applyAlignment="1">
      <alignment horizontal="center" vertical="center" wrapText="1"/>
    </xf>
    <xf numFmtId="0" fontId="4" fillId="0" borderId="0" xfId="53" applyFont="1" applyBorder="1" applyAlignment="1">
      <alignment horizontal="center" vertical="center" wrapText="1"/>
    </xf>
    <xf numFmtId="181" fontId="3" fillId="0" borderId="0" xfId="101" applyNumberFormat="1"/>
    <xf numFmtId="0" fontId="8" fillId="0" borderId="10" xfId="53" applyFont="1" applyFill="1" applyBorder="1" applyAlignment="1" applyProtection="1">
      <alignment horizontal="center" vertical="center" wrapText="1"/>
      <protection hidden="1"/>
    </xf>
    <xf numFmtId="9" fontId="8" fillId="0" borderId="10" xfId="53" applyNumberFormat="1" applyFont="1" applyFill="1" applyBorder="1" applyAlignment="1" applyProtection="1">
      <alignment horizontal="center" vertical="center" wrapText="1"/>
      <protection hidden="1"/>
    </xf>
    <xf numFmtId="0" fontId="39" fillId="0" borderId="10" xfId="53" applyFont="1" applyFill="1" applyBorder="1" applyAlignment="1" applyProtection="1">
      <alignment horizontal="center" vertical="center" wrapText="1"/>
      <protection hidden="1"/>
    </xf>
    <xf numFmtId="175" fontId="39" fillId="0" borderId="10" xfId="53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53" applyFont="1" applyFill="1" applyBorder="1" applyAlignment="1" applyProtection="1">
      <alignment horizontal="center" vertical="center" wrapText="1"/>
      <protection hidden="1"/>
    </xf>
    <xf numFmtId="9" fontId="29" fillId="0" borderId="0" xfId="53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3" applyFont="1" applyFill="1" applyBorder="1" applyAlignment="1" applyProtection="1">
      <alignment horizontal="center" vertical="center" wrapText="1"/>
      <protection hidden="1"/>
    </xf>
    <xf numFmtId="169" fontId="29" fillId="0" borderId="0" xfId="103" applyFont="1" applyFill="1" applyBorder="1" applyAlignment="1" applyProtection="1">
      <alignment horizontal="center" vertical="center" wrapText="1"/>
      <protection hidden="1"/>
    </xf>
    <xf numFmtId="174" fontId="29" fillId="0" borderId="0" xfId="53" applyNumberFormat="1" applyFont="1" applyFill="1" applyBorder="1" applyAlignment="1" applyProtection="1">
      <alignment horizontal="center" vertical="center" wrapText="1"/>
      <protection hidden="1"/>
    </xf>
    <xf numFmtId="175" fontId="31" fillId="0" borderId="0" xfId="103" applyNumberFormat="1" applyFont="1" applyFill="1" applyBorder="1" applyAlignment="1" applyProtection="1">
      <alignment horizontal="center" vertical="center" wrapText="1"/>
      <protection hidden="1"/>
    </xf>
    <xf numFmtId="175" fontId="29" fillId="0" borderId="0" xfId="103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53" applyFont="1" applyFill="1" applyAlignment="1" applyProtection="1">
      <alignment horizontal="center" vertical="center" wrapText="1"/>
      <protection hidden="1"/>
    </xf>
    <xf numFmtId="175" fontId="35" fillId="0" borderId="0" xfId="53" applyNumberFormat="1" applyFont="1" applyFill="1" applyAlignment="1" applyProtection="1">
      <alignment horizontal="center" vertical="center" wrapText="1"/>
      <protection hidden="1"/>
    </xf>
    <xf numFmtId="3" fontId="28" fillId="0" borderId="17" xfId="53" applyNumberFormat="1" applyFont="1" applyBorder="1" applyProtection="1">
      <protection hidden="1"/>
    </xf>
    <xf numFmtId="3" fontId="28" fillId="0" borderId="20" xfId="53" applyNumberFormat="1" applyFont="1" applyBorder="1" applyProtection="1">
      <protection hidden="1"/>
    </xf>
    <xf numFmtId="3" fontId="30" fillId="0" borderId="14" xfId="53" applyNumberFormat="1" applyFont="1" applyBorder="1" applyProtection="1">
      <protection hidden="1"/>
    </xf>
    <xf numFmtId="0" fontId="34" fillId="0" borderId="0" xfId="53" applyFont="1" applyBorder="1" applyAlignment="1">
      <alignment vertical="center"/>
    </xf>
    <xf numFmtId="0" fontId="3" fillId="0" borderId="0" xfId="101" applyBorder="1"/>
    <xf numFmtId="181" fontId="3" fillId="0" borderId="0" xfId="101" applyNumberFormat="1" applyBorder="1"/>
    <xf numFmtId="0" fontId="3" fillId="0" borderId="12" xfId="101" applyBorder="1"/>
    <xf numFmtId="181" fontId="0" fillId="0" borderId="20" xfId="102" applyNumberFormat="1" applyFont="1" applyBorder="1"/>
    <xf numFmtId="181" fontId="3" fillId="0" borderId="20" xfId="101" applyNumberFormat="1" applyBorder="1"/>
    <xf numFmtId="182" fontId="3" fillId="0" borderId="16" xfId="33" applyNumberFormat="1" applyFont="1" applyBorder="1"/>
    <xf numFmtId="0" fontId="3" fillId="0" borderId="13" xfId="101" applyBorder="1"/>
    <xf numFmtId="181" fontId="3" fillId="0" borderId="14" xfId="101" applyNumberFormat="1" applyBorder="1"/>
    <xf numFmtId="182" fontId="3" fillId="0" borderId="15" xfId="33" applyNumberFormat="1" applyFont="1" applyBorder="1"/>
    <xf numFmtId="0" fontId="3" fillId="0" borderId="37" xfId="101" applyBorder="1"/>
    <xf numFmtId="181" fontId="0" fillId="0" borderId="38" xfId="102" applyNumberFormat="1" applyFont="1" applyBorder="1"/>
    <xf numFmtId="181" fontId="3" fillId="0" borderId="38" xfId="101" applyNumberFormat="1" applyBorder="1"/>
    <xf numFmtId="182" fontId="3" fillId="0" borderId="39" xfId="33" applyNumberFormat="1" applyFont="1" applyBorder="1"/>
    <xf numFmtId="0" fontId="43" fillId="0" borderId="40" xfId="101" applyFont="1" applyBorder="1" applyAlignment="1">
      <alignment horizontal="center"/>
    </xf>
    <xf numFmtId="181" fontId="43" fillId="0" borderId="41" xfId="101" applyNumberFormat="1" applyFont="1" applyBorder="1" applyAlignment="1">
      <alignment horizontal="center"/>
    </xf>
    <xf numFmtId="0" fontId="43" fillId="0" borderId="42" xfId="101" applyFont="1" applyBorder="1" applyAlignment="1">
      <alignment horizontal="center"/>
    </xf>
    <xf numFmtId="0" fontId="2" fillId="0" borderId="0" xfId="101" applyFont="1"/>
    <xf numFmtId="37" fontId="4" fillId="0" borderId="0" xfId="37" applyFont="1" applyAlignment="1" applyProtection="1">
      <alignment vertical="top"/>
      <protection hidden="1"/>
    </xf>
    <xf numFmtId="181" fontId="8" fillId="0" borderId="43" xfId="51" applyNumberFormat="1" applyFont="1" applyFill="1" applyBorder="1" applyAlignment="1">
      <alignment horizontal="center" vertical="center" wrapText="1"/>
    </xf>
    <xf numFmtId="181" fontId="0" fillId="0" borderId="44" xfId="51" applyNumberFormat="1" applyFont="1" applyFill="1" applyBorder="1"/>
    <xf numFmtId="181" fontId="8" fillId="0" borderId="43" xfId="51" applyNumberFormat="1" applyFont="1" applyFill="1" applyBorder="1"/>
    <xf numFmtId="171" fontId="4" fillId="0" borderId="0" xfId="37" applyNumberFormat="1" applyFont="1" applyProtection="1">
      <protection hidden="1"/>
    </xf>
    <xf numFmtId="37" fontId="55" fillId="0" borderId="0" xfId="37" applyFont="1" applyAlignment="1" applyProtection="1">
      <protection hidden="1"/>
    </xf>
    <xf numFmtId="37" fontId="55" fillId="0" borderId="0" xfId="37" applyFont="1" applyProtection="1">
      <protection hidden="1"/>
    </xf>
    <xf numFmtId="37" fontId="55" fillId="0" borderId="0" xfId="37" applyFont="1" applyAlignment="1" applyProtection="1">
      <alignment wrapText="1"/>
      <protection hidden="1"/>
    </xf>
    <xf numFmtId="175" fontId="8" fillId="0" borderId="15" xfId="37" applyNumberFormat="1" applyFont="1" applyBorder="1" applyProtection="1">
      <protection hidden="1"/>
    </xf>
    <xf numFmtId="186" fontId="8" fillId="0" borderId="14" xfId="33" applyNumberFormat="1" applyFont="1" applyFill="1" applyBorder="1" applyProtection="1">
      <protection hidden="1"/>
    </xf>
    <xf numFmtId="171" fontId="8" fillId="0" borderId="14" xfId="40" applyNumberFormat="1" applyFont="1" applyFill="1" applyBorder="1" applyProtection="1">
      <protection hidden="1"/>
    </xf>
    <xf numFmtId="174" fontId="30" fillId="0" borderId="14" xfId="40" applyNumberFormat="1" applyFont="1" applyFill="1" applyBorder="1" applyProtection="1">
      <protection hidden="1"/>
    </xf>
    <xf numFmtId="173" fontId="30" fillId="0" borderId="14" xfId="40" applyNumberFormat="1" applyFont="1" applyFill="1" applyBorder="1" applyProtection="1">
      <protection hidden="1"/>
    </xf>
    <xf numFmtId="1" fontId="38" fillId="0" borderId="14" xfId="40" applyNumberFormat="1" applyFont="1" applyFill="1" applyBorder="1" applyProtection="1">
      <protection hidden="1"/>
    </xf>
    <xf numFmtId="3" fontId="30" fillId="0" borderId="13" xfId="0" applyNumberFormat="1" applyFont="1" applyFill="1" applyBorder="1" applyProtection="1">
      <protection hidden="1"/>
    </xf>
    <xf numFmtId="37" fontId="8" fillId="0" borderId="14" xfId="37" applyNumberFormat="1" applyFont="1" applyBorder="1" applyProtection="1">
      <protection hidden="1"/>
    </xf>
    <xf numFmtId="175" fontId="4" fillId="0" borderId="16" xfId="37" applyNumberFormat="1" applyFont="1" applyBorder="1" applyProtection="1">
      <protection hidden="1"/>
    </xf>
    <xf numFmtId="171" fontId="4" fillId="0" borderId="20" xfId="40" applyNumberFormat="1" applyFont="1" applyFill="1" applyBorder="1" applyProtection="1">
      <protection hidden="1"/>
    </xf>
    <xf numFmtId="174" fontId="28" fillId="0" borderId="20" xfId="40" applyNumberFormat="1" applyFont="1" applyFill="1" applyBorder="1" applyProtection="1">
      <protection hidden="1"/>
    </xf>
    <xf numFmtId="1" fontId="37" fillId="0" borderId="20" xfId="40" applyNumberFormat="1" applyFont="1" applyFill="1" applyBorder="1" applyProtection="1">
      <protection hidden="1"/>
    </xf>
    <xf numFmtId="173" fontId="28" fillId="0" borderId="20" xfId="40" applyNumberFormat="1" applyFont="1" applyFill="1" applyBorder="1" applyProtection="1">
      <protection hidden="1"/>
    </xf>
    <xf numFmtId="3" fontId="28" fillId="0" borderId="12" xfId="0" applyNumberFormat="1" applyFont="1" applyFill="1" applyBorder="1" applyProtection="1">
      <protection hidden="1"/>
    </xf>
    <xf numFmtId="37" fontId="4" fillId="0" borderId="20" xfId="37" applyNumberFormat="1" applyFont="1" applyFill="1" applyBorder="1" applyProtection="1">
      <protection hidden="1"/>
    </xf>
    <xf numFmtId="175" fontId="4" fillId="0" borderId="18" xfId="37" applyNumberFormat="1" applyFont="1" applyBorder="1" applyProtection="1">
      <protection hidden="1"/>
    </xf>
    <xf numFmtId="171" fontId="4" fillId="0" borderId="17" xfId="40" applyNumberFormat="1" applyFont="1" applyFill="1" applyBorder="1" applyProtection="1">
      <protection hidden="1"/>
    </xf>
    <xf numFmtId="174" fontId="28" fillId="0" borderId="17" xfId="40" applyNumberFormat="1" applyFont="1" applyFill="1" applyBorder="1" applyProtection="1">
      <protection hidden="1"/>
    </xf>
    <xf numFmtId="1" fontId="37" fillId="0" borderId="17" xfId="40" applyNumberFormat="1" applyFont="1" applyFill="1" applyBorder="1" applyProtection="1">
      <protection hidden="1"/>
    </xf>
    <xf numFmtId="173" fontId="28" fillId="0" borderId="17" xfId="40" applyNumberFormat="1" applyFont="1" applyFill="1" applyBorder="1" applyProtection="1">
      <protection hidden="1"/>
    </xf>
    <xf numFmtId="3" fontId="28" fillId="0" borderId="11" xfId="0" applyNumberFormat="1" applyFont="1" applyFill="1" applyBorder="1" applyProtection="1">
      <protection hidden="1"/>
    </xf>
    <xf numFmtId="37" fontId="4" fillId="0" borderId="17" xfId="37" applyNumberFormat="1" applyFont="1" applyFill="1" applyBorder="1" applyProtection="1">
      <protection hidden="1"/>
    </xf>
    <xf numFmtId="175" fontId="29" fillId="0" borderId="0" xfId="37" applyNumberFormat="1" applyFont="1" applyAlignment="1" applyProtection="1">
      <alignment horizontal="center" vertical="center" wrapText="1"/>
      <protection hidden="1"/>
    </xf>
    <xf numFmtId="175" fontId="35" fillId="0" borderId="0" xfId="0" applyNumberFormat="1" applyFont="1" applyFill="1" applyAlignment="1" applyProtection="1">
      <alignment horizontal="center" vertical="center" wrapText="1"/>
      <protection hidden="1"/>
    </xf>
    <xf numFmtId="171" fontId="34" fillId="0" borderId="0" xfId="37" applyNumberFormat="1" applyFont="1" applyFill="1" applyProtection="1">
      <protection hidden="1"/>
    </xf>
    <xf numFmtId="37" fontId="29" fillId="0" borderId="0" xfId="37" applyFont="1" applyFill="1" applyAlignment="1" applyProtection="1">
      <alignment horizontal="center" vertical="center"/>
      <protection hidden="1"/>
    </xf>
    <xf numFmtId="175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5" fontId="29" fillId="0" borderId="0" xfId="37" applyNumberFormat="1" applyFont="1" applyProtection="1"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171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74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2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5" fontId="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175" fontId="39" fillId="0" borderId="10" xfId="0" applyNumberFormat="1" applyFont="1" applyFill="1" applyBorder="1" applyAlignment="1" applyProtection="1">
      <alignment horizontal="center" vertical="center" wrapText="1"/>
      <protection hidden="1"/>
    </xf>
    <xf numFmtId="171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175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 applyFont="1" applyBorder="1" applyAlignment="1">
      <alignment vertical="center"/>
    </xf>
    <xf numFmtId="3" fontId="8" fillId="0" borderId="45" xfId="53" applyNumberFormat="1" applyFont="1" applyBorder="1" applyAlignment="1">
      <alignment horizontal="center" vertical="center" wrapText="1"/>
    </xf>
    <xf numFmtId="0" fontId="8" fillId="0" borderId="45" xfId="53" applyFont="1" applyBorder="1" applyAlignment="1">
      <alignment horizontal="center" vertical="center" wrapText="1"/>
    </xf>
    <xf numFmtId="0" fontId="8" fillId="0" borderId="45" xfId="53" applyFont="1" applyBorder="1" applyAlignment="1">
      <alignment vertical="center" wrapText="1"/>
    </xf>
    <xf numFmtId="181" fontId="0" fillId="0" borderId="0" xfId="51" applyNumberFormat="1" applyFont="1" applyAlignment="1">
      <alignment wrapText="1"/>
    </xf>
    <xf numFmtId="0" fontId="54" fillId="0" borderId="0" xfId="101" applyFont="1" applyBorder="1" applyAlignment="1">
      <alignment horizontal="center"/>
    </xf>
    <xf numFmtId="0" fontId="40" fillId="0" borderId="31" xfId="53" applyFont="1" applyBorder="1" applyAlignment="1">
      <alignment horizontal="center"/>
    </xf>
    <xf numFmtId="37" fontId="40" fillId="0" borderId="31" xfId="37" applyFont="1" applyBorder="1" applyAlignment="1" applyProtection="1">
      <alignment horizontal="center"/>
      <protection hidden="1"/>
    </xf>
    <xf numFmtId="37" fontId="4" fillId="0" borderId="0" xfId="37" applyFont="1" applyAlignment="1" applyProtection="1">
      <alignment vertical="top" wrapText="1"/>
      <protection hidden="1"/>
    </xf>
    <xf numFmtId="0" fontId="8" fillId="0" borderId="0" xfId="53" applyFont="1" applyAlignment="1">
      <alignment horizontal="center" vertical="center"/>
    </xf>
    <xf numFmtId="181" fontId="8" fillId="0" borderId="0" xfId="51" applyNumberFormat="1" applyFont="1" applyAlignment="1">
      <alignment horizontal="center" wrapText="1"/>
    </xf>
    <xf numFmtId="181" fontId="8" fillId="0" borderId="0" xfId="51" applyNumberFormat="1" applyFont="1" applyAlignment="1">
      <alignment horizontal="center"/>
    </xf>
    <xf numFmtId="49" fontId="42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5" xfId="54" applyNumberFormat="1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5" fillId="0" borderId="0" xfId="37" applyFont="1" applyAlignment="1" applyProtection="1">
      <alignment horizont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49" fontId="46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26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6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left" vertical="center"/>
      <protection hidden="1"/>
    </xf>
    <xf numFmtId="37" fontId="57" fillId="0" borderId="0" xfId="37" applyFont="1" applyAlignment="1" applyProtection="1">
      <alignment horizontal="center"/>
      <protection hidden="1"/>
    </xf>
    <xf numFmtId="37" fontId="56" fillId="0" borderId="31" xfId="37" applyFont="1" applyBorder="1" applyAlignment="1" applyProtection="1">
      <alignment horizontal="center"/>
      <protection hidden="1"/>
    </xf>
    <xf numFmtId="37" fontId="4" fillId="0" borderId="31" xfId="37" applyFont="1" applyBorder="1" applyAlignment="1" applyProtection="1">
      <alignment horizontal="center"/>
      <protection hidden="1"/>
    </xf>
    <xf numFmtId="0" fontId="58" fillId="0" borderId="0" xfId="104" applyFont="1"/>
    <xf numFmtId="43" fontId="8" fillId="0" borderId="29" xfId="105" applyFont="1" applyFill="1" applyBorder="1" applyAlignment="1">
      <alignment horizontal="center" vertical="center" wrapText="1"/>
    </xf>
    <xf numFmtId="1" fontId="58" fillId="0" borderId="0" xfId="104" applyNumberFormat="1" applyFont="1"/>
    <xf numFmtId="181" fontId="58" fillId="0" borderId="0" xfId="105" applyNumberFormat="1" applyFont="1"/>
    <xf numFmtId="0" fontId="59" fillId="0" borderId="0" xfId="104" applyFont="1" applyAlignment="1">
      <alignment horizontal="right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Millares 4" xfId="102"/>
    <cellStyle name="Millares 5" xfId="105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ESOS 2" xfId="103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O57"/>
  <sheetViews>
    <sheetView workbookViewId="0">
      <selection activeCell="C27" sqref="C27"/>
    </sheetView>
  </sheetViews>
  <sheetFormatPr baseColWidth="10" defaultRowHeight="15" x14ac:dyDescent="0.25"/>
  <cols>
    <col min="1" max="1" width="33.140625" style="106" customWidth="1"/>
    <col min="2" max="9" width="12.5703125" style="145" hidden="1" customWidth="1"/>
    <col min="10" max="10" width="12.85546875" style="145" hidden="1" customWidth="1"/>
    <col min="11" max="13" width="12.5703125" style="145" hidden="1" customWidth="1"/>
    <col min="14" max="14" width="19.42578125" style="145" customWidth="1"/>
    <col min="15" max="15" width="18.140625" style="106" customWidth="1"/>
    <col min="16" max="16384" width="11.42578125" style="106"/>
  </cols>
  <sheetData>
    <row r="1" spans="1:15" ht="15.75" x14ac:dyDescent="0.25">
      <c r="A1" s="236" t="s">
        <v>173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15.75" thickBo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3"/>
    </row>
    <row r="3" spans="1:15" ht="20.25" customHeight="1" thickTop="1" thickBot="1" x14ac:dyDescent="0.3">
      <c r="A3" s="176" t="s">
        <v>164</v>
      </c>
      <c r="B3" s="177" t="s">
        <v>124</v>
      </c>
      <c r="C3" s="177" t="s">
        <v>125</v>
      </c>
      <c r="D3" s="177" t="s">
        <v>126</v>
      </c>
      <c r="E3" s="177" t="s">
        <v>127</v>
      </c>
      <c r="F3" s="177" t="s">
        <v>128</v>
      </c>
      <c r="G3" s="177" t="s">
        <v>129</v>
      </c>
      <c r="H3" s="177" t="s">
        <v>130</v>
      </c>
      <c r="I3" s="177" t="s">
        <v>131</v>
      </c>
      <c r="J3" s="177" t="s">
        <v>132</v>
      </c>
      <c r="K3" s="177" t="s">
        <v>133</v>
      </c>
      <c r="L3" s="177" t="s">
        <v>134</v>
      </c>
      <c r="M3" s="177" t="s">
        <v>135</v>
      </c>
      <c r="N3" s="177" t="s">
        <v>136</v>
      </c>
      <c r="O3" s="178" t="s">
        <v>137</v>
      </c>
    </row>
    <row r="4" spans="1:15" ht="15.75" thickTop="1" x14ac:dyDescent="0.25">
      <c r="A4" s="172" t="s">
        <v>1</v>
      </c>
      <c r="B4" s="173">
        <v>88260.11</v>
      </c>
      <c r="C4" s="173">
        <v>48201.849999999991</v>
      </c>
      <c r="D4" s="173">
        <v>42373</v>
      </c>
      <c r="E4" s="173">
        <v>62478</v>
      </c>
      <c r="F4" s="173">
        <v>86381.690000000031</v>
      </c>
      <c r="G4" s="173">
        <v>53718.03</v>
      </c>
      <c r="H4" s="173">
        <v>37028</v>
      </c>
      <c r="I4" s="173">
        <v>65598</v>
      </c>
      <c r="J4" s="173">
        <v>62260</v>
      </c>
      <c r="K4" s="173">
        <v>54206</v>
      </c>
      <c r="L4" s="173">
        <v>52832.92</v>
      </c>
      <c r="M4" s="173">
        <v>53619</v>
      </c>
      <c r="N4" s="174">
        <f>SUM(B4:M4)</f>
        <v>706956.60000000009</v>
      </c>
      <c r="O4" s="175">
        <f>+N4/N$55</f>
        <v>1.2806792584074911E-4</v>
      </c>
    </row>
    <row r="5" spans="1:15" x14ac:dyDescent="0.25">
      <c r="A5" s="165" t="s">
        <v>2</v>
      </c>
      <c r="B5" s="166">
        <v>83333.47</v>
      </c>
      <c r="C5" s="166">
        <v>35875.659999999996</v>
      </c>
      <c r="D5" s="166">
        <v>111787.19</v>
      </c>
      <c r="E5" s="166">
        <v>105932</v>
      </c>
      <c r="F5" s="166">
        <v>3415</v>
      </c>
      <c r="G5" s="166">
        <v>159649</v>
      </c>
      <c r="H5" s="166">
        <v>51993</v>
      </c>
      <c r="I5" s="166">
        <v>123168</v>
      </c>
      <c r="J5" s="166">
        <v>57145</v>
      </c>
      <c r="K5" s="166">
        <v>48105</v>
      </c>
      <c r="L5" s="166">
        <v>105857</v>
      </c>
      <c r="M5" s="166">
        <v>92482</v>
      </c>
      <c r="N5" s="167">
        <f>SUM(B5:M5)</f>
        <v>978742.32000000007</v>
      </c>
      <c r="O5" s="168">
        <f t="shared" ref="O5:O54" si="0">+N5/N$55</f>
        <v>1.7730296153252228E-4</v>
      </c>
    </row>
    <row r="6" spans="1:15" x14ac:dyDescent="0.25">
      <c r="A6" s="165" t="s">
        <v>3</v>
      </c>
      <c r="B6" s="166">
        <v>2106.5300000000002</v>
      </c>
      <c r="C6" s="166">
        <v>13765.460000000001</v>
      </c>
      <c r="D6" s="166">
        <v>24666</v>
      </c>
      <c r="E6" s="166">
        <v>13217</v>
      </c>
      <c r="F6" s="166">
        <v>13496</v>
      </c>
      <c r="G6" s="166">
        <v>13768</v>
      </c>
      <c r="H6" s="166">
        <v>1470</v>
      </c>
      <c r="I6" s="166">
        <v>28521</v>
      </c>
      <c r="J6" s="166">
        <v>15691</v>
      </c>
      <c r="K6" s="166">
        <v>15756</v>
      </c>
      <c r="L6" s="166">
        <v>14951</v>
      </c>
      <c r="M6" s="166">
        <v>14613</v>
      </c>
      <c r="N6" s="167">
        <f t="shared" ref="N6:N54" si="1">SUM(B6:M6)</f>
        <v>172020.99</v>
      </c>
      <c r="O6" s="168">
        <f t="shared" si="0"/>
        <v>3.1162268504703461E-5</v>
      </c>
    </row>
    <row r="7" spans="1:15" x14ac:dyDescent="0.25">
      <c r="A7" s="165" t="s">
        <v>4</v>
      </c>
      <c r="B7" s="166">
        <v>2238781.0699999994</v>
      </c>
      <c r="C7" s="166">
        <v>1859859.5300000021</v>
      </c>
      <c r="D7" s="166">
        <v>1696130.7</v>
      </c>
      <c r="E7" s="166">
        <v>1950786.9899999998</v>
      </c>
      <c r="F7" s="166">
        <v>1754255.72</v>
      </c>
      <c r="G7" s="166">
        <v>2181804.38</v>
      </c>
      <c r="H7" s="166">
        <v>1754097.42</v>
      </c>
      <c r="I7" s="166">
        <v>2002040.4</v>
      </c>
      <c r="J7" s="166">
        <v>2101878.0099999998</v>
      </c>
      <c r="K7" s="166">
        <v>2243601.1399999997</v>
      </c>
      <c r="L7" s="166">
        <v>2215646.8099999996</v>
      </c>
      <c r="M7" s="166">
        <v>2300607.0099999993</v>
      </c>
      <c r="N7" s="167">
        <f t="shared" si="1"/>
        <v>24299489.179999996</v>
      </c>
      <c r="O7" s="168">
        <f t="shared" si="0"/>
        <v>4.4019465668363872E-3</v>
      </c>
    </row>
    <row r="8" spans="1:15" x14ac:dyDescent="0.25">
      <c r="A8" s="165" t="s">
        <v>5</v>
      </c>
      <c r="B8" s="166">
        <v>138845.93</v>
      </c>
      <c r="C8" s="166">
        <v>132186.99</v>
      </c>
      <c r="D8" s="166">
        <v>115399</v>
      </c>
      <c r="E8" s="166">
        <v>105198</v>
      </c>
      <c r="F8" s="166">
        <v>118414</v>
      </c>
      <c r="G8" s="166">
        <v>165375</v>
      </c>
      <c r="H8" s="166">
        <v>120394</v>
      </c>
      <c r="I8" s="166">
        <v>122821</v>
      </c>
      <c r="J8" s="166">
        <v>133406</v>
      </c>
      <c r="K8" s="166">
        <v>110655</v>
      </c>
      <c r="L8" s="166">
        <v>122050</v>
      </c>
      <c r="M8" s="166">
        <v>169261</v>
      </c>
      <c r="N8" s="167">
        <f t="shared" si="1"/>
        <v>1554005.92</v>
      </c>
      <c r="O8" s="168">
        <f t="shared" si="0"/>
        <v>2.8151419043070692E-4</v>
      </c>
    </row>
    <row r="9" spans="1:15" x14ac:dyDescent="0.25">
      <c r="A9" s="165" t="s">
        <v>6</v>
      </c>
      <c r="B9" s="166">
        <v>59861143.300000146</v>
      </c>
      <c r="C9" s="166">
        <v>40084871.609999992</v>
      </c>
      <c r="D9" s="166">
        <v>40487318.770000011</v>
      </c>
      <c r="E9" s="166">
        <v>43704875.170000002</v>
      </c>
      <c r="F9" s="166">
        <v>46100156.509999968</v>
      </c>
      <c r="G9" s="166">
        <v>46586495.690000013</v>
      </c>
      <c r="H9" s="166">
        <v>42505981.620000012</v>
      </c>
      <c r="I9" s="166">
        <v>44115293.129999988</v>
      </c>
      <c r="J9" s="166">
        <v>42051019.289999999</v>
      </c>
      <c r="K9" s="166">
        <v>43296681.609999999</v>
      </c>
      <c r="L9" s="166">
        <v>46434763.839999981</v>
      </c>
      <c r="M9" s="166">
        <v>45259824.840000004</v>
      </c>
      <c r="N9" s="167">
        <f>SUM(B9:M9)</f>
        <v>540488425.38000011</v>
      </c>
      <c r="O9" s="168">
        <f t="shared" si="0"/>
        <v>9.7911571345891832E-2</v>
      </c>
    </row>
    <row r="10" spans="1:15" x14ac:dyDescent="0.25">
      <c r="A10" s="165" t="s">
        <v>7</v>
      </c>
      <c r="B10" s="166">
        <v>5832.630000000001</v>
      </c>
      <c r="C10" s="166">
        <v>2486.4299999999998</v>
      </c>
      <c r="D10" s="166">
        <v>3391</v>
      </c>
      <c r="E10" s="166">
        <v>2943</v>
      </c>
      <c r="F10" s="166">
        <v>224154</v>
      </c>
      <c r="G10" s="166">
        <v>3389</v>
      </c>
      <c r="H10" s="166">
        <v>3344</v>
      </c>
      <c r="I10" s="166">
        <v>2903</v>
      </c>
      <c r="J10" s="166">
        <v>4139</v>
      </c>
      <c r="K10" s="166">
        <v>3518</v>
      </c>
      <c r="L10" s="166">
        <v>3095</v>
      </c>
      <c r="M10" s="166">
        <v>686771</v>
      </c>
      <c r="N10" s="167">
        <f t="shared" si="1"/>
        <v>945966.06</v>
      </c>
      <c r="O10" s="168">
        <f t="shared" si="0"/>
        <v>1.7136541510461269E-4</v>
      </c>
    </row>
    <row r="11" spans="1:15" x14ac:dyDescent="0.25">
      <c r="A11" s="165" t="s">
        <v>8</v>
      </c>
      <c r="B11" s="166">
        <v>46668.54</v>
      </c>
      <c r="C11" s="166">
        <v>36736.800000000003</v>
      </c>
      <c r="D11" s="166">
        <v>25437.5</v>
      </c>
      <c r="E11" s="166">
        <v>25764.5</v>
      </c>
      <c r="F11" s="166">
        <v>30873</v>
      </c>
      <c r="G11" s="166">
        <v>27585.5</v>
      </c>
      <c r="H11" s="166">
        <v>1259</v>
      </c>
      <c r="I11" s="166">
        <v>52963</v>
      </c>
      <c r="J11" s="166">
        <v>28729</v>
      </c>
      <c r="K11" s="166">
        <v>26102.48</v>
      </c>
      <c r="L11" s="166">
        <v>25474</v>
      </c>
      <c r="M11" s="166">
        <v>25515</v>
      </c>
      <c r="N11" s="167">
        <f>SUM(B11:M11)</f>
        <v>353108.31999999995</v>
      </c>
      <c r="O11" s="168">
        <f t="shared" si="0"/>
        <v>6.39669396105949E-5</v>
      </c>
    </row>
    <row r="12" spans="1:15" x14ac:dyDescent="0.25">
      <c r="A12" s="165" t="s">
        <v>9</v>
      </c>
      <c r="B12" s="166">
        <v>13446222.970000003</v>
      </c>
      <c r="C12" s="166">
        <v>6162647.7800000068</v>
      </c>
      <c r="D12" s="166">
        <v>6526198.6500000013</v>
      </c>
      <c r="E12" s="166">
        <v>6987601.3100000005</v>
      </c>
      <c r="F12" s="166">
        <v>7072504.9600000018</v>
      </c>
      <c r="G12" s="166">
        <v>8042625.3099999996</v>
      </c>
      <c r="H12" s="166">
        <v>8836022.4499999993</v>
      </c>
      <c r="I12" s="166">
        <v>10246681.929999996</v>
      </c>
      <c r="J12" s="166">
        <v>7427835.5599999996</v>
      </c>
      <c r="K12" s="166">
        <v>7244500.9000000004</v>
      </c>
      <c r="L12" s="166">
        <v>7096559.4199999999</v>
      </c>
      <c r="M12" s="166">
        <v>7918753.879999998</v>
      </c>
      <c r="N12" s="167">
        <f>SUM(B12:M12)</f>
        <v>97008155.120000005</v>
      </c>
      <c r="O12" s="168">
        <f t="shared" si="0"/>
        <v>1.7573402972482392E-2</v>
      </c>
    </row>
    <row r="13" spans="1:15" x14ac:dyDescent="0.25">
      <c r="A13" s="165" t="s">
        <v>10</v>
      </c>
      <c r="B13" s="166">
        <v>1894726.3800000004</v>
      </c>
      <c r="C13" s="166">
        <v>1292300.94</v>
      </c>
      <c r="D13" s="166">
        <v>1188396.53</v>
      </c>
      <c r="E13" s="166">
        <v>1395595.4</v>
      </c>
      <c r="F13" s="166">
        <v>1502573.79</v>
      </c>
      <c r="G13" s="166">
        <v>1594227.3399999999</v>
      </c>
      <c r="H13" s="166">
        <v>1293942</v>
      </c>
      <c r="I13" s="166">
        <v>1350042.81</v>
      </c>
      <c r="J13" s="166">
        <v>1350257.52</v>
      </c>
      <c r="K13" s="166">
        <v>1270473.73</v>
      </c>
      <c r="L13" s="166">
        <v>1480171.45</v>
      </c>
      <c r="M13" s="166">
        <v>1527675.56</v>
      </c>
      <c r="N13" s="167">
        <f>SUM(B13:M13)</f>
        <v>17140383.449999999</v>
      </c>
      <c r="O13" s="168">
        <f t="shared" si="0"/>
        <v>3.1050468395890261E-3</v>
      </c>
    </row>
    <row r="14" spans="1:15" x14ac:dyDescent="0.25">
      <c r="A14" s="165" t="s">
        <v>138</v>
      </c>
      <c r="B14" s="166">
        <v>144983.11000000002</v>
      </c>
      <c r="C14" s="166">
        <v>97597.21</v>
      </c>
      <c r="D14" s="166">
        <v>97500.89</v>
      </c>
      <c r="E14" s="166">
        <v>134527.9</v>
      </c>
      <c r="F14" s="166">
        <v>101282.77</v>
      </c>
      <c r="G14" s="166">
        <v>73718.289999999994</v>
      </c>
      <c r="H14" s="166">
        <v>98287.19</v>
      </c>
      <c r="I14" s="166">
        <v>131727.78</v>
      </c>
      <c r="J14" s="166">
        <v>109401.83</v>
      </c>
      <c r="K14" s="166">
        <v>151582.07999999999</v>
      </c>
      <c r="L14" s="166">
        <v>77842</v>
      </c>
      <c r="M14" s="166">
        <v>74641.119999999995</v>
      </c>
      <c r="N14" s="167">
        <f>SUM(B14:M14)</f>
        <v>1293092.17</v>
      </c>
      <c r="O14" s="168">
        <f t="shared" si="0"/>
        <v>2.3424865420708051E-4</v>
      </c>
    </row>
    <row r="15" spans="1:15" x14ac:dyDescent="0.25">
      <c r="A15" s="165" t="s">
        <v>12</v>
      </c>
      <c r="B15" s="166">
        <v>308233.35000000003</v>
      </c>
      <c r="C15" s="166">
        <v>150648.37999999998</v>
      </c>
      <c r="D15" s="166">
        <v>109340</v>
      </c>
      <c r="E15" s="166">
        <v>211897</v>
      </c>
      <c r="F15" s="166">
        <v>103146.57</v>
      </c>
      <c r="G15" s="166">
        <v>202224</v>
      </c>
      <c r="H15" s="166">
        <v>89951</v>
      </c>
      <c r="I15" s="166">
        <v>113654</v>
      </c>
      <c r="J15" s="166">
        <v>81781</v>
      </c>
      <c r="K15" s="166">
        <v>134806</v>
      </c>
      <c r="L15" s="166">
        <v>74114</v>
      </c>
      <c r="M15" s="166">
        <v>246687.96</v>
      </c>
      <c r="N15" s="167">
        <f t="shared" si="1"/>
        <v>1826483.26</v>
      </c>
      <c r="O15" s="168">
        <f t="shared" si="0"/>
        <v>3.3087451576383847E-4</v>
      </c>
    </row>
    <row r="16" spans="1:15" x14ac:dyDescent="0.25">
      <c r="A16" s="165" t="s">
        <v>13</v>
      </c>
      <c r="B16" s="166">
        <v>8667788.6200000029</v>
      </c>
      <c r="C16" s="166">
        <v>6633517.2499999981</v>
      </c>
      <c r="D16" s="166">
        <v>6652047.6900000004</v>
      </c>
      <c r="E16" s="166">
        <v>7528952.9399999976</v>
      </c>
      <c r="F16" s="166">
        <v>6799012.8500000006</v>
      </c>
      <c r="G16" s="166">
        <v>7787952.04</v>
      </c>
      <c r="H16" s="166">
        <v>7747992.4800000004</v>
      </c>
      <c r="I16" s="166">
        <v>8727380.8200000003</v>
      </c>
      <c r="J16" s="166">
        <v>7916016.4199999999</v>
      </c>
      <c r="K16" s="166">
        <v>6927011.5199999996</v>
      </c>
      <c r="L16" s="166">
        <v>7686982.7800000003</v>
      </c>
      <c r="M16" s="166">
        <v>8795522.7200000007</v>
      </c>
      <c r="N16" s="167">
        <f t="shared" si="1"/>
        <v>91870178.129999995</v>
      </c>
      <c r="O16" s="168">
        <f t="shared" si="0"/>
        <v>1.6642638543482371E-2</v>
      </c>
    </row>
    <row r="17" spans="1:15" x14ac:dyDescent="0.25">
      <c r="A17" s="165" t="s">
        <v>14</v>
      </c>
      <c r="B17" s="166">
        <v>138625.73000000001</v>
      </c>
      <c r="C17" s="166">
        <v>379835.27</v>
      </c>
      <c r="D17" s="166">
        <v>58354</v>
      </c>
      <c r="E17" s="166">
        <v>134110</v>
      </c>
      <c r="F17" s="166">
        <v>52251</v>
      </c>
      <c r="G17" s="166">
        <v>259315</v>
      </c>
      <c r="H17" s="166">
        <v>49031</v>
      </c>
      <c r="I17" s="166">
        <v>154226</v>
      </c>
      <c r="J17" s="166">
        <v>67665</v>
      </c>
      <c r="K17" s="166">
        <v>348158</v>
      </c>
      <c r="L17" s="166">
        <v>65913</v>
      </c>
      <c r="M17" s="166">
        <v>347827</v>
      </c>
      <c r="N17" s="167">
        <f t="shared" ref="N17:N50" si="2">SUM(B17:M17)</f>
        <v>2055311</v>
      </c>
      <c r="O17" s="168">
        <f t="shared" si="0"/>
        <v>3.7232754702010829E-4</v>
      </c>
    </row>
    <row r="18" spans="1:15" x14ac:dyDescent="0.25">
      <c r="A18" s="165" t="s">
        <v>15</v>
      </c>
      <c r="B18" s="166">
        <v>65.09</v>
      </c>
      <c r="C18" s="166">
        <v>53795.840000000004</v>
      </c>
      <c r="D18" s="166">
        <v>667</v>
      </c>
      <c r="E18" s="166">
        <v>46314</v>
      </c>
      <c r="F18" s="166">
        <v>0</v>
      </c>
      <c r="G18" s="166">
        <v>689</v>
      </c>
      <c r="H18" s="166">
        <v>370</v>
      </c>
      <c r="I18" s="166">
        <v>15968</v>
      </c>
      <c r="J18" s="166">
        <v>445</v>
      </c>
      <c r="K18" s="166">
        <v>48192</v>
      </c>
      <c r="L18" s="166">
        <v>382</v>
      </c>
      <c r="M18" s="166">
        <v>370</v>
      </c>
      <c r="N18" s="167">
        <f t="shared" si="2"/>
        <v>167257.93</v>
      </c>
      <c r="O18" s="168">
        <f t="shared" si="0"/>
        <v>3.0299421740340502E-5</v>
      </c>
    </row>
    <row r="19" spans="1:15" x14ac:dyDescent="0.25">
      <c r="A19" s="165" t="s">
        <v>16</v>
      </c>
      <c r="B19" s="166">
        <v>65244.86</v>
      </c>
      <c r="C19" s="166">
        <v>169580.23000000004</v>
      </c>
      <c r="D19" s="166">
        <v>37907</v>
      </c>
      <c r="E19" s="166">
        <v>33158</v>
      </c>
      <c r="F19" s="166">
        <v>68757</v>
      </c>
      <c r="G19" s="166">
        <v>189923</v>
      </c>
      <c r="H19" s="166">
        <v>28669</v>
      </c>
      <c r="I19" s="166">
        <v>37038</v>
      </c>
      <c r="J19" s="166">
        <v>30925</v>
      </c>
      <c r="K19" s="166">
        <v>32944</v>
      </c>
      <c r="L19" s="166">
        <v>163549</v>
      </c>
      <c r="M19" s="166">
        <v>166656</v>
      </c>
      <c r="N19" s="167">
        <f t="shared" si="2"/>
        <v>1024351.0900000001</v>
      </c>
      <c r="O19" s="168">
        <f t="shared" si="0"/>
        <v>1.8556516684193984E-4</v>
      </c>
    </row>
    <row r="20" spans="1:15" x14ac:dyDescent="0.25">
      <c r="A20" s="165" t="s">
        <v>17</v>
      </c>
      <c r="B20" s="166">
        <v>296951.66000000003</v>
      </c>
      <c r="C20" s="166">
        <v>333069.61000000004</v>
      </c>
      <c r="D20" s="166">
        <v>229281.33000000002</v>
      </c>
      <c r="E20" s="166">
        <v>242716.14</v>
      </c>
      <c r="F20" s="166">
        <v>186599.58</v>
      </c>
      <c r="G20" s="166">
        <v>299167.32</v>
      </c>
      <c r="H20" s="166">
        <v>99981.959999999992</v>
      </c>
      <c r="I20" s="166">
        <v>395598.18</v>
      </c>
      <c r="J20" s="166">
        <v>244625.79</v>
      </c>
      <c r="K20" s="166">
        <v>275581.32</v>
      </c>
      <c r="L20" s="166">
        <v>295683.29000000004</v>
      </c>
      <c r="M20" s="166">
        <v>465673.1</v>
      </c>
      <c r="N20" s="167">
        <f t="shared" si="2"/>
        <v>3364929.2800000003</v>
      </c>
      <c r="O20" s="168">
        <f t="shared" si="0"/>
        <v>6.0956997005248313E-4</v>
      </c>
    </row>
    <row r="21" spans="1:15" x14ac:dyDescent="0.25">
      <c r="A21" s="165" t="s">
        <v>18</v>
      </c>
      <c r="B21" s="166">
        <v>12343622.17</v>
      </c>
      <c r="C21" s="166">
        <v>8500620.6100000013</v>
      </c>
      <c r="D21" s="166">
        <v>7823137.6899999995</v>
      </c>
      <c r="E21" s="166">
        <v>8074647.7399999993</v>
      </c>
      <c r="F21" s="166">
        <v>8126688.0800000001</v>
      </c>
      <c r="G21" s="166">
        <v>9122459.3899999987</v>
      </c>
      <c r="H21" s="166">
        <v>7450949.2100000009</v>
      </c>
      <c r="I21" s="166">
        <v>9402092.7500000019</v>
      </c>
      <c r="J21" s="166">
        <v>8416987.5999999996</v>
      </c>
      <c r="K21" s="166">
        <v>8503047.8100000005</v>
      </c>
      <c r="L21" s="166">
        <v>9018782.2200000007</v>
      </c>
      <c r="M21" s="166">
        <v>8618166.0599999987</v>
      </c>
      <c r="N21" s="167">
        <f t="shared" si="2"/>
        <v>105401201.33</v>
      </c>
      <c r="O21" s="168">
        <f t="shared" si="0"/>
        <v>1.9093835796223285E-2</v>
      </c>
    </row>
    <row r="22" spans="1:15" x14ac:dyDescent="0.25">
      <c r="A22" s="165" t="s">
        <v>19</v>
      </c>
      <c r="B22" s="166">
        <v>16307.839999999998</v>
      </c>
      <c r="C22" s="166">
        <v>121458.6</v>
      </c>
      <c r="D22" s="166">
        <v>68908</v>
      </c>
      <c r="E22" s="166">
        <v>511551.30000000005</v>
      </c>
      <c r="F22" s="166">
        <v>71711</v>
      </c>
      <c r="G22" s="166">
        <v>64665</v>
      </c>
      <c r="H22" s="166">
        <v>89637.01</v>
      </c>
      <c r="I22" s="166">
        <v>74824</v>
      </c>
      <c r="J22" s="166">
        <v>91587.83</v>
      </c>
      <c r="K22" s="166">
        <v>90742</v>
      </c>
      <c r="L22" s="166">
        <v>94380</v>
      </c>
      <c r="M22" s="166">
        <v>497401</v>
      </c>
      <c r="N22" s="167">
        <f t="shared" si="2"/>
        <v>1793173.58</v>
      </c>
      <c r="O22" s="168">
        <f t="shared" si="0"/>
        <v>3.248403382372137E-4</v>
      </c>
    </row>
    <row r="23" spans="1:15" x14ac:dyDescent="0.25">
      <c r="A23" s="165" t="s">
        <v>20</v>
      </c>
      <c r="B23" s="166">
        <v>18802059.509999972</v>
      </c>
      <c r="C23" s="166">
        <v>12326130.46000001</v>
      </c>
      <c r="D23" s="166">
        <v>12222202.139999997</v>
      </c>
      <c r="E23" s="166">
        <v>12792892.93</v>
      </c>
      <c r="F23" s="166">
        <v>13631654.589999998</v>
      </c>
      <c r="G23" s="166">
        <v>13358946.589999998</v>
      </c>
      <c r="H23" s="166">
        <v>11331217.869999999</v>
      </c>
      <c r="I23" s="166">
        <v>13122923.630000001</v>
      </c>
      <c r="J23" s="166">
        <v>12752594.290000003</v>
      </c>
      <c r="K23" s="166">
        <v>13399870.1</v>
      </c>
      <c r="L23" s="166">
        <v>13423868.93</v>
      </c>
      <c r="M23" s="166">
        <v>14374939.270000001</v>
      </c>
      <c r="N23" s="167">
        <f t="shared" si="2"/>
        <v>161539300.31</v>
      </c>
      <c r="O23" s="168">
        <f t="shared" si="0"/>
        <v>2.9263469826107544E-2</v>
      </c>
    </row>
    <row r="24" spans="1:15" x14ac:dyDescent="0.25">
      <c r="A24" s="165" t="s">
        <v>21</v>
      </c>
      <c r="B24" s="166">
        <v>321930.11000000004</v>
      </c>
      <c r="C24" s="166">
        <v>128505.05000000005</v>
      </c>
      <c r="D24" s="166">
        <v>188937.8</v>
      </c>
      <c r="E24" s="166">
        <v>211738.11000000002</v>
      </c>
      <c r="F24" s="166">
        <v>116046.97</v>
      </c>
      <c r="G24" s="166">
        <v>320588.64</v>
      </c>
      <c r="H24" s="166">
        <v>155124.91999999998</v>
      </c>
      <c r="I24" s="166">
        <v>209004.91</v>
      </c>
      <c r="J24" s="166">
        <v>347381.64</v>
      </c>
      <c r="K24" s="166">
        <v>293215.91000000003</v>
      </c>
      <c r="L24" s="166">
        <v>132313.64000000001</v>
      </c>
      <c r="M24" s="166">
        <v>357229.91000000003</v>
      </c>
      <c r="N24" s="167">
        <f t="shared" si="2"/>
        <v>2782017.6100000003</v>
      </c>
      <c r="O24" s="168">
        <f t="shared" si="0"/>
        <v>5.039732636559841E-4</v>
      </c>
    </row>
    <row r="25" spans="1:15" x14ac:dyDescent="0.25">
      <c r="A25" s="165" t="s">
        <v>22</v>
      </c>
      <c r="B25" s="166">
        <v>552</v>
      </c>
      <c r="C25" s="166">
        <v>815.53999999999985</v>
      </c>
      <c r="D25" s="166">
        <v>47170.3</v>
      </c>
      <c r="E25" s="166">
        <v>552</v>
      </c>
      <c r="F25" s="166">
        <v>890</v>
      </c>
      <c r="G25" s="166">
        <v>1501</v>
      </c>
      <c r="H25" s="166">
        <v>535</v>
      </c>
      <c r="I25" s="166">
        <v>552</v>
      </c>
      <c r="J25" s="166">
        <v>552</v>
      </c>
      <c r="K25" s="166">
        <v>82</v>
      </c>
      <c r="L25" s="166">
        <v>85</v>
      </c>
      <c r="M25" s="166">
        <v>704</v>
      </c>
      <c r="N25" s="167">
        <f t="shared" si="2"/>
        <v>53990.840000000004</v>
      </c>
      <c r="O25" s="168">
        <f t="shared" si="0"/>
        <v>9.7806497502106218E-6</v>
      </c>
    </row>
    <row r="26" spans="1:15" x14ac:dyDescent="0.25">
      <c r="A26" s="165" t="s">
        <v>23</v>
      </c>
      <c r="B26" s="166">
        <v>0</v>
      </c>
      <c r="C26" s="166">
        <v>113770</v>
      </c>
      <c r="D26" s="166">
        <v>0</v>
      </c>
      <c r="E26" s="166">
        <v>0</v>
      </c>
      <c r="F26" s="166">
        <v>0</v>
      </c>
      <c r="G26" s="166">
        <v>99296</v>
      </c>
      <c r="H26" s="166">
        <v>0</v>
      </c>
      <c r="I26" s="166">
        <v>0</v>
      </c>
      <c r="J26" s="166">
        <v>0</v>
      </c>
      <c r="K26" s="166">
        <v>0</v>
      </c>
      <c r="L26" s="166">
        <v>195735.38999999998</v>
      </c>
      <c r="M26" s="166">
        <v>0</v>
      </c>
      <c r="N26" s="167">
        <f t="shared" si="2"/>
        <v>408801.39</v>
      </c>
      <c r="O26" s="168">
        <f t="shared" si="0"/>
        <v>7.4055954917338855E-5</v>
      </c>
    </row>
    <row r="27" spans="1:15" x14ac:dyDescent="0.25">
      <c r="A27" s="165" t="s">
        <v>24</v>
      </c>
      <c r="B27" s="166">
        <v>229645.15000000002</v>
      </c>
      <c r="C27" s="166">
        <v>159175.25000000003</v>
      </c>
      <c r="D27" s="166">
        <v>116983.48</v>
      </c>
      <c r="E27" s="166">
        <v>157717.78</v>
      </c>
      <c r="F27" s="166">
        <v>186819</v>
      </c>
      <c r="G27" s="166">
        <v>166102.22</v>
      </c>
      <c r="H27" s="166">
        <v>117587</v>
      </c>
      <c r="I27" s="166">
        <v>123591</v>
      </c>
      <c r="J27" s="166">
        <v>122646</v>
      </c>
      <c r="K27" s="166">
        <v>117343</v>
      </c>
      <c r="L27" s="166">
        <v>169282</v>
      </c>
      <c r="M27" s="166">
        <v>554832.06999999995</v>
      </c>
      <c r="N27" s="167">
        <f t="shared" si="2"/>
        <v>2221723.9499999997</v>
      </c>
      <c r="O27" s="168">
        <f t="shared" si="0"/>
        <v>4.0247389736119038E-4</v>
      </c>
    </row>
    <row r="28" spans="1:15" x14ac:dyDescent="0.25">
      <c r="A28" s="165" t="s">
        <v>25</v>
      </c>
      <c r="B28" s="166">
        <v>31420075.789999966</v>
      </c>
      <c r="C28" s="166">
        <v>26505892.45999993</v>
      </c>
      <c r="D28" s="166">
        <v>24434131.130000006</v>
      </c>
      <c r="E28" s="166">
        <v>25561331.390000015</v>
      </c>
      <c r="F28" s="166">
        <v>24948803.939999998</v>
      </c>
      <c r="G28" s="166">
        <v>25281911.379999995</v>
      </c>
      <c r="H28" s="166">
        <v>22902248.939999998</v>
      </c>
      <c r="I28" s="166">
        <v>27650343.320000008</v>
      </c>
      <c r="J28" s="166">
        <v>24902571.840000007</v>
      </c>
      <c r="K28" s="166">
        <v>26847372.250000011</v>
      </c>
      <c r="L28" s="166">
        <v>26853210.649999999</v>
      </c>
      <c r="M28" s="166">
        <v>26443150.719999999</v>
      </c>
      <c r="N28" s="167">
        <f t="shared" si="2"/>
        <v>313751043.80999994</v>
      </c>
      <c r="O28" s="168">
        <f t="shared" si="0"/>
        <v>5.6837216614310834E-2</v>
      </c>
    </row>
    <row r="29" spans="1:15" x14ac:dyDescent="0.25">
      <c r="A29" s="165" t="s">
        <v>26</v>
      </c>
      <c r="B29" s="166">
        <v>46117.61</v>
      </c>
      <c r="C29" s="166">
        <v>9951</v>
      </c>
      <c r="D29" s="166">
        <v>6485</v>
      </c>
      <c r="E29" s="166">
        <v>46037</v>
      </c>
      <c r="F29" s="166">
        <v>477</v>
      </c>
      <c r="G29" s="166">
        <v>472</v>
      </c>
      <c r="H29" s="166">
        <v>10010</v>
      </c>
      <c r="I29" s="166">
        <v>47645</v>
      </c>
      <c r="J29" s="166">
        <v>332</v>
      </c>
      <c r="K29" s="166">
        <v>47569</v>
      </c>
      <c r="L29" s="166">
        <v>357</v>
      </c>
      <c r="M29" s="166">
        <v>15110</v>
      </c>
      <c r="N29" s="167">
        <f t="shared" si="2"/>
        <v>230562.61</v>
      </c>
      <c r="O29" s="168">
        <f t="shared" si="0"/>
        <v>4.1767309675204332E-5</v>
      </c>
    </row>
    <row r="30" spans="1:15" x14ac:dyDescent="0.25">
      <c r="A30" s="165" t="s">
        <v>27</v>
      </c>
      <c r="B30" s="166">
        <v>347785.20999999996</v>
      </c>
      <c r="C30" s="166">
        <v>49529.079999999994</v>
      </c>
      <c r="D30" s="166">
        <v>116041.9</v>
      </c>
      <c r="E30" s="166">
        <v>125278.70999999999</v>
      </c>
      <c r="F30" s="166">
        <v>195975.25</v>
      </c>
      <c r="G30" s="166">
        <v>164968.23000000001</v>
      </c>
      <c r="H30" s="166">
        <v>55612.6</v>
      </c>
      <c r="I30" s="166">
        <v>123230.29999999999</v>
      </c>
      <c r="J30" s="166">
        <v>129021.17</v>
      </c>
      <c r="K30" s="166">
        <v>181631.38</v>
      </c>
      <c r="L30" s="166">
        <v>61752.22</v>
      </c>
      <c r="M30" s="166">
        <v>200262.36</v>
      </c>
      <c r="N30" s="167">
        <f t="shared" si="2"/>
        <v>1751088.4100000001</v>
      </c>
      <c r="O30" s="168">
        <f t="shared" si="0"/>
        <v>3.1721644671324278E-4</v>
      </c>
    </row>
    <row r="31" spans="1:15" x14ac:dyDescent="0.25">
      <c r="A31" s="165" t="s">
        <v>28</v>
      </c>
      <c r="B31" s="166">
        <v>44135.54</v>
      </c>
      <c r="C31" s="166">
        <v>24395.710000000003</v>
      </c>
      <c r="D31" s="166">
        <v>20761</v>
      </c>
      <c r="E31" s="166">
        <v>37197</v>
      </c>
      <c r="F31" s="166">
        <v>23366</v>
      </c>
      <c r="G31" s="166">
        <v>26426</v>
      </c>
      <c r="H31" s="166">
        <v>2785</v>
      </c>
      <c r="I31" s="166">
        <v>43360</v>
      </c>
      <c r="J31" s="166">
        <v>27832</v>
      </c>
      <c r="K31" s="166">
        <v>23196</v>
      </c>
      <c r="L31" s="166">
        <v>3288</v>
      </c>
      <c r="M31" s="166">
        <v>47586</v>
      </c>
      <c r="N31" s="167">
        <f t="shared" si="2"/>
        <v>324328.25</v>
      </c>
      <c r="O31" s="168">
        <f t="shared" si="0"/>
        <v>5.875331847677769E-5</v>
      </c>
    </row>
    <row r="32" spans="1:15" x14ac:dyDescent="0.25">
      <c r="A32" s="165" t="s">
        <v>29</v>
      </c>
      <c r="B32" s="166">
        <v>31039.83</v>
      </c>
      <c r="C32" s="166">
        <v>48886.390000000007</v>
      </c>
      <c r="D32" s="166">
        <v>49069.61</v>
      </c>
      <c r="E32" s="166">
        <v>82601</v>
      </c>
      <c r="F32" s="166">
        <v>19709</v>
      </c>
      <c r="G32" s="166">
        <v>52314</v>
      </c>
      <c r="H32" s="166">
        <v>25392</v>
      </c>
      <c r="I32" s="166">
        <v>112665</v>
      </c>
      <c r="J32" s="166">
        <v>55763</v>
      </c>
      <c r="K32" s="166">
        <v>41949</v>
      </c>
      <c r="L32" s="166">
        <v>65110</v>
      </c>
      <c r="M32" s="166">
        <v>40762</v>
      </c>
      <c r="N32" s="167">
        <f t="shared" si="2"/>
        <v>625260.83000000007</v>
      </c>
      <c r="O32" s="168">
        <f t="shared" si="0"/>
        <v>1.1326842073129418E-4</v>
      </c>
    </row>
    <row r="33" spans="1:15" x14ac:dyDescent="0.25">
      <c r="A33" s="165" t="s">
        <v>30</v>
      </c>
      <c r="B33" s="166">
        <v>1063.58</v>
      </c>
      <c r="C33" s="166">
        <v>19630.580000000002</v>
      </c>
      <c r="D33" s="166">
        <v>59267</v>
      </c>
      <c r="E33" s="166">
        <v>41153</v>
      </c>
      <c r="F33" s="166">
        <v>458</v>
      </c>
      <c r="G33" s="166">
        <v>22877</v>
      </c>
      <c r="H33" s="166">
        <v>458</v>
      </c>
      <c r="I33" s="166">
        <v>42335</v>
      </c>
      <c r="J33" s="166">
        <v>21383</v>
      </c>
      <c r="K33" s="166">
        <v>21937</v>
      </c>
      <c r="L33" s="166">
        <v>588</v>
      </c>
      <c r="M33" s="166">
        <v>63742</v>
      </c>
      <c r="N33" s="167">
        <f t="shared" si="2"/>
        <v>294892.16000000003</v>
      </c>
      <c r="O33" s="168">
        <f t="shared" si="0"/>
        <v>5.3420856779466127E-5</v>
      </c>
    </row>
    <row r="34" spans="1:15" x14ac:dyDescent="0.25">
      <c r="A34" s="165" t="s">
        <v>31</v>
      </c>
      <c r="B34" s="166">
        <v>1519327.1500000011</v>
      </c>
      <c r="C34" s="166">
        <v>3340638.0400000033</v>
      </c>
      <c r="D34" s="166">
        <v>1698952.41</v>
      </c>
      <c r="E34" s="166">
        <v>1461269.25</v>
      </c>
      <c r="F34" s="166">
        <v>3583962.3699999992</v>
      </c>
      <c r="G34" s="166">
        <v>1726236.96</v>
      </c>
      <c r="H34" s="166">
        <v>1723444.8100000003</v>
      </c>
      <c r="I34" s="166">
        <v>1562129.6899999997</v>
      </c>
      <c r="J34" s="166">
        <v>1782181.1400000001</v>
      </c>
      <c r="K34" s="166">
        <v>1551892.71</v>
      </c>
      <c r="L34" s="166">
        <v>1709284.81</v>
      </c>
      <c r="M34" s="166">
        <v>1634688.08</v>
      </c>
      <c r="N34" s="167">
        <f t="shared" si="2"/>
        <v>23294007.420000002</v>
      </c>
      <c r="O34" s="168">
        <f t="shared" si="0"/>
        <v>4.2197996521970652E-3</v>
      </c>
    </row>
    <row r="35" spans="1:15" x14ac:dyDescent="0.25">
      <c r="A35" s="165" t="s">
        <v>32</v>
      </c>
      <c r="B35" s="166">
        <v>43641.19</v>
      </c>
      <c r="C35" s="166">
        <v>19605.47</v>
      </c>
      <c r="D35" s="166">
        <v>99106.67</v>
      </c>
      <c r="E35" s="166">
        <v>124063</v>
      </c>
      <c r="F35" s="166">
        <v>53880</v>
      </c>
      <c r="G35" s="166">
        <v>52755.43</v>
      </c>
      <c r="H35" s="166">
        <v>22325</v>
      </c>
      <c r="I35" s="166">
        <v>91563.6</v>
      </c>
      <c r="J35" s="166">
        <v>19497</v>
      </c>
      <c r="K35" s="166">
        <v>81046</v>
      </c>
      <c r="L35" s="166">
        <v>26277</v>
      </c>
      <c r="M35" s="166">
        <v>90135</v>
      </c>
      <c r="N35" s="167">
        <f t="shared" si="2"/>
        <v>723895.36</v>
      </c>
      <c r="O35" s="168">
        <f t="shared" si="0"/>
        <v>1.3113644781156632E-4</v>
      </c>
    </row>
    <row r="36" spans="1:15" x14ac:dyDescent="0.25">
      <c r="A36" s="165" t="s">
        <v>33</v>
      </c>
      <c r="B36" s="166">
        <v>2938445.17</v>
      </c>
      <c r="C36" s="166">
        <v>2068754.0300000007</v>
      </c>
      <c r="D36" s="166">
        <v>1632583.9099999997</v>
      </c>
      <c r="E36" s="166">
        <v>1950063.7500000002</v>
      </c>
      <c r="F36" s="166">
        <v>2178602.87</v>
      </c>
      <c r="G36" s="166">
        <v>2055451.05</v>
      </c>
      <c r="H36" s="166">
        <v>1663256.87</v>
      </c>
      <c r="I36" s="166">
        <v>2237867.12</v>
      </c>
      <c r="J36" s="166">
        <v>1957801.26</v>
      </c>
      <c r="K36" s="166">
        <v>1971841.73</v>
      </c>
      <c r="L36" s="166">
        <v>1829749.96</v>
      </c>
      <c r="M36" s="166">
        <v>2890212.6</v>
      </c>
      <c r="N36" s="167">
        <f t="shared" si="2"/>
        <v>25374630.320000008</v>
      </c>
      <c r="O36" s="168">
        <f t="shared" si="0"/>
        <v>4.5967125479247023E-3</v>
      </c>
    </row>
    <row r="37" spans="1:15" x14ac:dyDescent="0.25">
      <c r="A37" s="165" t="s">
        <v>34</v>
      </c>
      <c r="B37" s="166">
        <v>20282.200000000004</v>
      </c>
      <c r="C37" s="166">
        <v>73633.180000000008</v>
      </c>
      <c r="D37" s="166">
        <v>18288.559999999998</v>
      </c>
      <c r="E37" s="166">
        <v>20634</v>
      </c>
      <c r="F37" s="166">
        <v>14697.43</v>
      </c>
      <c r="G37" s="166">
        <v>17516</v>
      </c>
      <c r="H37" s="166">
        <v>22536</v>
      </c>
      <c r="I37" s="166">
        <v>20583</v>
      </c>
      <c r="J37" s="166">
        <v>22762.2</v>
      </c>
      <c r="K37" s="166">
        <v>20099</v>
      </c>
      <c r="L37" s="166">
        <v>25823.64</v>
      </c>
      <c r="M37" s="166">
        <v>19008</v>
      </c>
      <c r="N37" s="167">
        <f t="shared" si="2"/>
        <v>295863.21000000002</v>
      </c>
      <c r="O37" s="168">
        <f t="shared" si="0"/>
        <v>5.3596766247441474E-5</v>
      </c>
    </row>
    <row r="38" spans="1:15" x14ac:dyDescent="0.25">
      <c r="A38" s="165" t="s">
        <v>35</v>
      </c>
      <c r="B38" s="166">
        <v>1127.83</v>
      </c>
      <c r="C38" s="166">
        <v>0</v>
      </c>
      <c r="D38" s="166">
        <v>117076.95</v>
      </c>
      <c r="E38" s="166">
        <v>445.02</v>
      </c>
      <c r="F38" s="166">
        <v>0</v>
      </c>
      <c r="G38" s="166">
        <v>692.97</v>
      </c>
      <c r="H38" s="166">
        <v>0</v>
      </c>
      <c r="I38" s="166">
        <v>72391.47</v>
      </c>
      <c r="J38" s="166">
        <v>0</v>
      </c>
      <c r="K38" s="166">
        <v>459.47</v>
      </c>
      <c r="L38" s="166">
        <v>0</v>
      </c>
      <c r="M38" s="166">
        <v>461.36</v>
      </c>
      <c r="N38" s="167">
        <f t="shared" si="2"/>
        <v>192655.06999999998</v>
      </c>
      <c r="O38" s="168">
        <f t="shared" si="0"/>
        <v>3.490021200396789E-5</v>
      </c>
    </row>
    <row r="39" spans="1:15" x14ac:dyDescent="0.25">
      <c r="A39" s="165" t="s">
        <v>36</v>
      </c>
      <c r="B39" s="166">
        <v>0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310764</v>
      </c>
      <c r="J39" s="166">
        <v>243932</v>
      </c>
      <c r="K39" s="166">
        <v>0</v>
      </c>
      <c r="L39" s="166">
        <v>0</v>
      </c>
      <c r="M39" s="166">
        <v>97781</v>
      </c>
      <c r="N39" s="167">
        <f t="shared" si="2"/>
        <v>652477</v>
      </c>
      <c r="O39" s="168">
        <f t="shared" si="0"/>
        <v>1.1819873532377299E-4</v>
      </c>
    </row>
    <row r="40" spans="1:15" x14ac:dyDescent="0.25">
      <c r="A40" s="165" t="s">
        <v>37</v>
      </c>
      <c r="B40" s="166">
        <v>10261.94</v>
      </c>
      <c r="C40" s="166">
        <v>110934.85</v>
      </c>
      <c r="D40" s="166">
        <v>9850.23</v>
      </c>
      <c r="E40" s="166">
        <v>115307.68</v>
      </c>
      <c r="F40" s="166">
        <v>45908.41</v>
      </c>
      <c r="G40" s="166">
        <v>44292.95</v>
      </c>
      <c r="H40" s="166">
        <v>8321.41</v>
      </c>
      <c r="I40" s="166">
        <v>46677.41</v>
      </c>
      <c r="J40" s="166">
        <v>42779.95</v>
      </c>
      <c r="K40" s="166">
        <v>42301.38</v>
      </c>
      <c r="L40" s="166">
        <v>47953.56</v>
      </c>
      <c r="M40" s="166">
        <v>83638.429999999993</v>
      </c>
      <c r="N40" s="167">
        <f t="shared" si="2"/>
        <v>608228.19999999995</v>
      </c>
      <c r="O40" s="168">
        <f t="shared" si="0"/>
        <v>1.101828938464572E-4</v>
      </c>
    </row>
    <row r="41" spans="1:15" x14ac:dyDescent="0.25">
      <c r="A41" s="165" t="s">
        <v>38</v>
      </c>
      <c r="B41" s="166">
        <v>1736464.9300000004</v>
      </c>
      <c r="C41" s="166">
        <v>1856470.4099999976</v>
      </c>
      <c r="D41" s="166">
        <v>1390029.54</v>
      </c>
      <c r="E41" s="166">
        <v>1679678.8100000003</v>
      </c>
      <c r="F41" s="166">
        <v>1279430.42</v>
      </c>
      <c r="G41" s="166">
        <v>1472233.1</v>
      </c>
      <c r="H41" s="166">
        <v>1057659.32</v>
      </c>
      <c r="I41" s="166">
        <v>1753518.1700000002</v>
      </c>
      <c r="J41" s="166">
        <v>1363420.2599999998</v>
      </c>
      <c r="K41" s="166">
        <v>1296041.3500000001</v>
      </c>
      <c r="L41" s="166">
        <v>1787974.68</v>
      </c>
      <c r="M41" s="166">
        <v>1462456.3900000001</v>
      </c>
      <c r="N41" s="167">
        <f t="shared" si="2"/>
        <v>18135377.379999999</v>
      </c>
      <c r="O41" s="168">
        <f t="shared" si="0"/>
        <v>3.2852938432088173E-3</v>
      </c>
    </row>
    <row r="42" spans="1:15" x14ac:dyDescent="0.25">
      <c r="A42" s="165" t="s">
        <v>39</v>
      </c>
      <c r="B42" s="166">
        <v>320870109.209997</v>
      </c>
      <c r="C42" s="166">
        <v>213553776.65999886</v>
      </c>
      <c r="D42" s="166">
        <v>186804206.19999975</v>
      </c>
      <c r="E42" s="166">
        <v>202097446.34000012</v>
      </c>
      <c r="F42" s="166">
        <v>196731221.60000005</v>
      </c>
      <c r="G42" s="166">
        <v>202546741.04000041</v>
      </c>
      <c r="H42" s="166">
        <v>184864522.59</v>
      </c>
      <c r="I42" s="166">
        <v>196798246.29000011</v>
      </c>
      <c r="J42" s="166">
        <v>193767302.08999985</v>
      </c>
      <c r="K42" s="166">
        <v>187358988.24000001</v>
      </c>
      <c r="L42" s="166">
        <v>207062922.21999991</v>
      </c>
      <c r="M42" s="166">
        <v>224518023.93999988</v>
      </c>
      <c r="N42" s="167">
        <f t="shared" si="2"/>
        <v>2516973506.4199963</v>
      </c>
      <c r="O42" s="168">
        <f t="shared" si="0"/>
        <v>0.45595949788618756</v>
      </c>
    </row>
    <row r="43" spans="1:15" x14ac:dyDescent="0.25">
      <c r="A43" s="165" t="s">
        <v>40</v>
      </c>
      <c r="B43" s="166">
        <v>14754.1</v>
      </c>
      <c r="C43" s="166">
        <v>15621.45</v>
      </c>
      <c r="D43" s="166">
        <v>17450</v>
      </c>
      <c r="E43" s="166">
        <v>17371</v>
      </c>
      <c r="F43" s="166">
        <v>17509</v>
      </c>
      <c r="G43" s="166">
        <v>17511</v>
      </c>
      <c r="H43" s="166">
        <v>353</v>
      </c>
      <c r="I43" s="166">
        <v>34591</v>
      </c>
      <c r="J43" s="166">
        <v>19718</v>
      </c>
      <c r="K43" s="166">
        <v>18851</v>
      </c>
      <c r="L43" s="166">
        <v>18949</v>
      </c>
      <c r="M43" s="166">
        <v>18771</v>
      </c>
      <c r="N43" s="167">
        <f t="shared" si="2"/>
        <v>211449.55</v>
      </c>
      <c r="O43" s="168">
        <f t="shared" si="0"/>
        <v>3.8304904839221769E-5</v>
      </c>
    </row>
    <row r="44" spans="1:15" x14ac:dyDescent="0.25">
      <c r="A44" s="165" t="s">
        <v>41</v>
      </c>
      <c r="B44" s="166">
        <v>1137869.5300000003</v>
      </c>
      <c r="C44" s="166">
        <v>1094998.4899999995</v>
      </c>
      <c r="D44" s="166">
        <v>906949.44</v>
      </c>
      <c r="E44" s="166">
        <v>1428662.17</v>
      </c>
      <c r="F44" s="166">
        <v>1278567.6200000001</v>
      </c>
      <c r="G44" s="166">
        <v>1487475.47</v>
      </c>
      <c r="H44" s="166">
        <v>1876357.46</v>
      </c>
      <c r="I44" s="166">
        <v>1363493.19</v>
      </c>
      <c r="J44" s="166">
        <v>1280619.74</v>
      </c>
      <c r="K44" s="166">
        <v>1494044.3599999999</v>
      </c>
      <c r="L44" s="166">
        <v>1236553.1200000001</v>
      </c>
      <c r="M44" s="166">
        <v>1491198.95</v>
      </c>
      <c r="N44" s="167">
        <f t="shared" si="2"/>
        <v>16076789.539999999</v>
      </c>
      <c r="O44" s="168">
        <f t="shared" si="0"/>
        <v>2.912372683932862E-3</v>
      </c>
    </row>
    <row r="45" spans="1:15" x14ac:dyDescent="0.25">
      <c r="A45" s="165" t="s">
        <v>42</v>
      </c>
      <c r="B45" s="166">
        <v>92937.74000000002</v>
      </c>
      <c r="C45" s="166">
        <v>43557.799999999996</v>
      </c>
      <c r="D45" s="166">
        <v>8638</v>
      </c>
      <c r="E45" s="166">
        <v>74295</v>
      </c>
      <c r="F45" s="166">
        <v>9096</v>
      </c>
      <c r="G45" s="166">
        <v>8385</v>
      </c>
      <c r="H45" s="166">
        <v>8614.99</v>
      </c>
      <c r="I45" s="166">
        <v>9098</v>
      </c>
      <c r="J45" s="166">
        <v>9197</v>
      </c>
      <c r="K45" s="166">
        <v>8550</v>
      </c>
      <c r="L45" s="166">
        <v>9773</v>
      </c>
      <c r="M45" s="166">
        <v>9562</v>
      </c>
      <c r="N45" s="167">
        <f t="shared" si="2"/>
        <v>291704.53000000003</v>
      </c>
      <c r="O45" s="168">
        <f t="shared" si="0"/>
        <v>5.2843405260592481E-5</v>
      </c>
    </row>
    <row r="46" spans="1:15" x14ac:dyDescent="0.25">
      <c r="A46" s="165" t="s">
        <v>43</v>
      </c>
      <c r="B46" s="166">
        <v>876.48</v>
      </c>
      <c r="C46" s="166">
        <v>63164.959999999999</v>
      </c>
      <c r="D46" s="166">
        <v>22859</v>
      </c>
      <c r="E46" s="166">
        <v>411</v>
      </c>
      <c r="F46" s="166">
        <v>24049</v>
      </c>
      <c r="G46" s="166">
        <v>24319</v>
      </c>
      <c r="H46" s="166">
        <v>584</v>
      </c>
      <c r="I46" s="166">
        <v>75561</v>
      </c>
      <c r="J46" s="166">
        <v>411</v>
      </c>
      <c r="K46" s="166">
        <v>402</v>
      </c>
      <c r="L46" s="166">
        <v>26855</v>
      </c>
      <c r="M46" s="166">
        <v>79541</v>
      </c>
      <c r="N46" s="167">
        <f t="shared" si="2"/>
        <v>319033.44</v>
      </c>
      <c r="O46" s="168">
        <f t="shared" si="0"/>
        <v>5.7794143140666742E-5</v>
      </c>
    </row>
    <row r="47" spans="1:15" x14ac:dyDescent="0.25">
      <c r="A47" s="165" t="s">
        <v>44</v>
      </c>
      <c r="B47" s="166">
        <v>644204.0199999999</v>
      </c>
      <c r="C47" s="166">
        <v>736618.03999999922</v>
      </c>
      <c r="D47" s="166">
        <v>380221</v>
      </c>
      <c r="E47" s="166">
        <v>564225</v>
      </c>
      <c r="F47" s="166">
        <v>595713</v>
      </c>
      <c r="G47" s="166">
        <v>661810</v>
      </c>
      <c r="H47" s="166">
        <v>449240</v>
      </c>
      <c r="I47" s="166">
        <v>713210</v>
      </c>
      <c r="J47" s="166">
        <v>639158</v>
      </c>
      <c r="K47" s="166">
        <v>588987</v>
      </c>
      <c r="L47" s="166">
        <v>258493</v>
      </c>
      <c r="M47" s="166">
        <v>830652</v>
      </c>
      <c r="N47" s="167">
        <f t="shared" si="2"/>
        <v>7062531.0599999987</v>
      </c>
      <c r="O47" s="168">
        <f t="shared" si="0"/>
        <v>1.2794048517830755E-3</v>
      </c>
    </row>
    <row r="48" spans="1:15" x14ac:dyDescent="0.25">
      <c r="A48" s="165" t="s">
        <v>45</v>
      </c>
      <c r="B48" s="166">
        <v>1440374.4200000002</v>
      </c>
      <c r="C48" s="166">
        <v>1386470.3999999994</v>
      </c>
      <c r="D48" s="166">
        <v>1077213.26</v>
      </c>
      <c r="E48" s="166">
        <v>1130788.03</v>
      </c>
      <c r="F48" s="166">
        <v>1113704.8199999998</v>
      </c>
      <c r="G48" s="166">
        <v>1090234.1400000001</v>
      </c>
      <c r="H48" s="166">
        <v>999676.90999999992</v>
      </c>
      <c r="I48" s="166">
        <v>1120191.2599999998</v>
      </c>
      <c r="J48" s="166">
        <v>1301198.94</v>
      </c>
      <c r="K48" s="166">
        <v>1060272.5</v>
      </c>
      <c r="L48" s="166">
        <v>1094750.21</v>
      </c>
      <c r="M48" s="166">
        <v>1134743.44</v>
      </c>
      <c r="N48" s="167">
        <f t="shared" si="2"/>
        <v>13949618.33</v>
      </c>
      <c r="O48" s="168">
        <f t="shared" si="0"/>
        <v>2.5270273815863583E-3</v>
      </c>
    </row>
    <row r="49" spans="1:15" x14ac:dyDescent="0.25">
      <c r="A49" s="165" t="s">
        <v>46</v>
      </c>
      <c r="B49" s="166">
        <v>50156213.839999981</v>
      </c>
      <c r="C49" s="166">
        <v>34995187.710000023</v>
      </c>
      <c r="D49" s="166">
        <v>33976444.509999998</v>
      </c>
      <c r="E49" s="166">
        <v>39848388.860000007</v>
      </c>
      <c r="F49" s="166">
        <v>36545917.890000015</v>
      </c>
      <c r="G49" s="166">
        <v>36419109.090000033</v>
      </c>
      <c r="H49" s="166">
        <v>34285388.07</v>
      </c>
      <c r="I49" s="166">
        <v>40129974.090000018</v>
      </c>
      <c r="J49" s="166">
        <v>36791788.160000004</v>
      </c>
      <c r="K49" s="166">
        <v>44898675.799999997</v>
      </c>
      <c r="L49" s="166">
        <v>37941986.560000002</v>
      </c>
      <c r="M49" s="166">
        <v>39997444.230000004</v>
      </c>
      <c r="N49" s="167">
        <f t="shared" si="2"/>
        <v>465986518.81000012</v>
      </c>
      <c r="O49" s="168">
        <f t="shared" si="0"/>
        <v>8.441526245564146E-2</v>
      </c>
    </row>
    <row r="50" spans="1:15" x14ac:dyDescent="0.25">
      <c r="A50" s="165" t="s">
        <v>47</v>
      </c>
      <c r="B50" s="166">
        <v>113249154.58999982</v>
      </c>
      <c r="C50" s="166">
        <v>60710334.790000118</v>
      </c>
      <c r="D50" s="166">
        <v>60444019.739999987</v>
      </c>
      <c r="E50" s="166">
        <v>60571415.210000008</v>
      </c>
      <c r="F50" s="166">
        <v>59398208.920000009</v>
      </c>
      <c r="G50" s="166">
        <v>61098510.639999978</v>
      </c>
      <c r="H50" s="166">
        <v>56519368.850000001</v>
      </c>
      <c r="I50" s="166">
        <v>62676730.759999983</v>
      </c>
      <c r="J50" s="166">
        <v>55979524.88000001</v>
      </c>
      <c r="K50" s="166">
        <v>57449844.509999976</v>
      </c>
      <c r="L50" s="166">
        <v>54455895.25</v>
      </c>
      <c r="M50" s="166">
        <v>64533007.789999947</v>
      </c>
      <c r="N50" s="167">
        <f t="shared" si="2"/>
        <v>767086015.92999995</v>
      </c>
      <c r="O50" s="168">
        <f t="shared" si="0"/>
        <v>0.13896060239284691</v>
      </c>
    </row>
    <row r="51" spans="1:15" x14ac:dyDescent="0.25">
      <c r="A51" s="165" t="s">
        <v>48</v>
      </c>
      <c r="B51" s="166">
        <v>33075118.759999942</v>
      </c>
      <c r="C51" s="166">
        <v>22329087.280000001</v>
      </c>
      <c r="D51" s="166">
        <v>21588463.199999992</v>
      </c>
      <c r="E51" s="166">
        <v>20727137.990000006</v>
      </c>
      <c r="F51" s="166">
        <v>21885357.579999987</v>
      </c>
      <c r="G51" s="166">
        <v>24068853.110000007</v>
      </c>
      <c r="H51" s="166">
        <v>19802402.669999998</v>
      </c>
      <c r="I51" s="166">
        <v>21655605.140000001</v>
      </c>
      <c r="J51" s="166">
        <v>21726188.589999992</v>
      </c>
      <c r="K51" s="166">
        <v>20778251.689999998</v>
      </c>
      <c r="L51" s="166">
        <v>22223663.09</v>
      </c>
      <c r="M51" s="166">
        <v>23887625.789999992</v>
      </c>
      <c r="N51" s="167">
        <f t="shared" si="1"/>
        <v>273747754.88999987</v>
      </c>
      <c r="O51" s="168">
        <f t="shared" si="0"/>
        <v>4.959046591024692E-2</v>
      </c>
    </row>
    <row r="52" spans="1:15" x14ac:dyDescent="0.25">
      <c r="A52" s="165" t="s">
        <v>49</v>
      </c>
      <c r="B52" s="166">
        <v>700153.04000000015</v>
      </c>
      <c r="C52" s="166">
        <v>1400877.9700000016</v>
      </c>
      <c r="D52" s="166">
        <v>691314.2300000001</v>
      </c>
      <c r="E52" s="166">
        <v>1237697.7</v>
      </c>
      <c r="F52" s="166">
        <v>680923.49999999977</v>
      </c>
      <c r="G52" s="166">
        <v>1097970.7599999998</v>
      </c>
      <c r="H52" s="166">
        <v>668794.80000000005</v>
      </c>
      <c r="I52" s="166">
        <v>889918.50999999978</v>
      </c>
      <c r="J52" s="166">
        <v>726296.40999999992</v>
      </c>
      <c r="K52" s="166">
        <v>1050729</v>
      </c>
      <c r="L52" s="166">
        <v>862040.54</v>
      </c>
      <c r="M52" s="166">
        <v>1726558.2000000002</v>
      </c>
      <c r="N52" s="167">
        <f>SUM(B52:M52)</f>
        <v>11733274.66</v>
      </c>
      <c r="O52" s="168">
        <f t="shared" si="0"/>
        <v>2.1255281427827689E-3</v>
      </c>
    </row>
    <row r="53" spans="1:15" x14ac:dyDescent="0.25">
      <c r="A53" s="165" t="s">
        <v>50</v>
      </c>
      <c r="B53" s="166">
        <v>0</v>
      </c>
      <c r="C53" s="166">
        <v>27446.86</v>
      </c>
      <c r="D53" s="166">
        <v>23516</v>
      </c>
      <c r="E53" s="166">
        <v>40760</v>
      </c>
      <c r="F53" s="166">
        <v>11289</v>
      </c>
      <c r="G53" s="166">
        <v>40631</v>
      </c>
      <c r="H53" s="166">
        <v>15482</v>
      </c>
      <c r="I53" s="166">
        <v>9837</v>
      </c>
      <c r="J53" s="166">
        <v>11000</v>
      </c>
      <c r="K53" s="166">
        <v>9449</v>
      </c>
      <c r="L53" s="166">
        <v>9821</v>
      </c>
      <c r="M53" s="166">
        <v>111136</v>
      </c>
      <c r="N53" s="167">
        <f t="shared" si="1"/>
        <v>310367.86</v>
      </c>
      <c r="O53" s="168">
        <f t="shared" si="0"/>
        <v>5.6224339765456603E-5</v>
      </c>
    </row>
    <row r="54" spans="1:15" x14ac:dyDescent="0.25">
      <c r="A54" s="165" t="s">
        <v>51</v>
      </c>
      <c r="B54" s="166">
        <v>123080.07</v>
      </c>
      <c r="C54" s="166">
        <v>14874.58</v>
      </c>
      <c r="D54" s="166">
        <v>59802</v>
      </c>
      <c r="E54" s="166">
        <v>91599</v>
      </c>
      <c r="F54" s="166">
        <v>43654</v>
      </c>
      <c r="G54" s="166">
        <v>62953</v>
      </c>
      <c r="H54" s="166">
        <v>11796</v>
      </c>
      <c r="I54" s="166">
        <v>53111</v>
      </c>
      <c r="J54" s="166">
        <v>96270</v>
      </c>
      <c r="K54" s="166">
        <v>11214</v>
      </c>
      <c r="L54" s="166">
        <v>45159</v>
      </c>
      <c r="M54" s="166">
        <v>103593</v>
      </c>
      <c r="N54" s="167">
        <f t="shared" si="1"/>
        <v>717105.65</v>
      </c>
      <c r="O54" s="168">
        <f t="shared" si="0"/>
        <v>1.2990646555132549E-4</v>
      </c>
    </row>
    <row r="55" spans="1:15" ht="15.75" thickBot="1" x14ac:dyDescent="0.3">
      <c r="A55" s="169" t="s">
        <v>52</v>
      </c>
      <c r="B55" s="170">
        <f>SUM(B4:B54)</f>
        <v>678806543.899997</v>
      </c>
      <c r="C55" s="170">
        <f t="shared" ref="C55:N55" si="3">SUM(C4:C54)</f>
        <v>449337790.53999907</v>
      </c>
      <c r="D55" s="170">
        <f t="shared" si="3"/>
        <v>413526276.14999974</v>
      </c>
      <c r="E55" s="170">
        <f t="shared" si="3"/>
        <v>443510424.12000018</v>
      </c>
      <c r="F55" s="170">
        <f t="shared" si="3"/>
        <v>437031566.70000005</v>
      </c>
      <c r="G55" s="170">
        <f t="shared" si="3"/>
        <v>450317835.06000042</v>
      </c>
      <c r="H55" s="170">
        <f t="shared" si="3"/>
        <v>408861496.42000008</v>
      </c>
      <c r="I55" s="170">
        <f t="shared" si="3"/>
        <v>450263253.66000009</v>
      </c>
      <c r="J55" s="170">
        <f t="shared" si="3"/>
        <v>426332919.40999991</v>
      </c>
      <c r="K55" s="170">
        <f t="shared" si="3"/>
        <v>431491770.97000003</v>
      </c>
      <c r="L55" s="170">
        <f t="shared" si="3"/>
        <v>446608545.19999993</v>
      </c>
      <c r="M55" s="170">
        <f t="shared" si="3"/>
        <v>484080623.77999979</v>
      </c>
      <c r="N55" s="170">
        <f t="shared" si="3"/>
        <v>5520169045.9099951</v>
      </c>
      <c r="O55" s="171">
        <f>SUM(O4:O54)</f>
        <v>1.0000000000000002</v>
      </c>
    </row>
    <row r="56" spans="1:15" ht="15.75" thickTop="1" x14ac:dyDescent="0.25">
      <c r="O56" s="107"/>
    </row>
    <row r="57" spans="1:15" x14ac:dyDescent="0.25">
      <c r="A57" s="179" t="s">
        <v>174</v>
      </c>
    </row>
  </sheetData>
  <mergeCells count="1">
    <mergeCell ref="A1:O1"/>
  </mergeCells>
  <printOptions horizontalCentered="1"/>
  <pageMargins left="0.70866141732283472" right="0.70866141732283472" top="0.39370078740157483" bottom="0.39370078740157483" header="0.15748031496062992" footer="0.19685039370078741"/>
  <pageSetup scale="88" orientation="portrait" r:id="rId1"/>
  <headerFooter>
    <oddHeader>&amp;LANEXO III
Pag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23" sqref="C23"/>
    </sheetView>
  </sheetViews>
  <sheetFormatPr baseColWidth="10" defaultRowHeight="12.75" x14ac:dyDescent="0.2"/>
  <cols>
    <col min="1" max="1" width="5" style="258" bestFit="1" customWidth="1"/>
    <col min="2" max="2" width="39.28515625" style="258" customWidth="1"/>
    <col min="3" max="3" width="29.85546875" style="258" customWidth="1"/>
    <col min="4" max="256" width="11.42578125" style="258"/>
    <col min="257" max="257" width="5" style="258" bestFit="1" customWidth="1"/>
    <col min="258" max="258" width="39.28515625" style="258" customWidth="1"/>
    <col min="259" max="259" width="29.85546875" style="258" customWidth="1"/>
    <col min="260" max="512" width="11.42578125" style="258"/>
    <col min="513" max="513" width="5" style="258" bestFit="1" customWidth="1"/>
    <col min="514" max="514" width="39.28515625" style="258" customWidth="1"/>
    <col min="515" max="515" width="29.85546875" style="258" customWidth="1"/>
    <col min="516" max="768" width="11.42578125" style="258"/>
    <col min="769" max="769" width="5" style="258" bestFit="1" customWidth="1"/>
    <col min="770" max="770" width="39.28515625" style="258" customWidth="1"/>
    <col min="771" max="771" width="29.85546875" style="258" customWidth="1"/>
    <col min="772" max="1024" width="11.42578125" style="258"/>
    <col min="1025" max="1025" width="5" style="258" bestFit="1" customWidth="1"/>
    <col min="1026" max="1026" width="39.28515625" style="258" customWidth="1"/>
    <col min="1027" max="1027" width="29.85546875" style="258" customWidth="1"/>
    <col min="1028" max="1280" width="11.42578125" style="258"/>
    <col min="1281" max="1281" width="5" style="258" bestFit="1" customWidth="1"/>
    <col min="1282" max="1282" width="39.28515625" style="258" customWidth="1"/>
    <col min="1283" max="1283" width="29.85546875" style="258" customWidth="1"/>
    <col min="1284" max="1536" width="11.42578125" style="258"/>
    <col min="1537" max="1537" width="5" style="258" bestFit="1" customWidth="1"/>
    <col min="1538" max="1538" width="39.28515625" style="258" customWidth="1"/>
    <col min="1539" max="1539" width="29.85546875" style="258" customWidth="1"/>
    <col min="1540" max="1792" width="11.42578125" style="258"/>
    <col min="1793" max="1793" width="5" style="258" bestFit="1" customWidth="1"/>
    <col min="1794" max="1794" width="39.28515625" style="258" customWidth="1"/>
    <col min="1795" max="1795" width="29.85546875" style="258" customWidth="1"/>
    <col min="1796" max="2048" width="11.42578125" style="258"/>
    <col min="2049" max="2049" width="5" style="258" bestFit="1" customWidth="1"/>
    <col min="2050" max="2050" width="39.28515625" style="258" customWidth="1"/>
    <col min="2051" max="2051" width="29.85546875" style="258" customWidth="1"/>
    <col min="2052" max="2304" width="11.42578125" style="258"/>
    <col min="2305" max="2305" width="5" style="258" bestFit="1" customWidth="1"/>
    <col min="2306" max="2306" width="39.28515625" style="258" customWidth="1"/>
    <col min="2307" max="2307" width="29.85546875" style="258" customWidth="1"/>
    <col min="2308" max="2560" width="11.42578125" style="258"/>
    <col min="2561" max="2561" width="5" style="258" bestFit="1" customWidth="1"/>
    <col min="2562" max="2562" width="39.28515625" style="258" customWidth="1"/>
    <col min="2563" max="2563" width="29.85546875" style="258" customWidth="1"/>
    <col min="2564" max="2816" width="11.42578125" style="258"/>
    <col min="2817" max="2817" width="5" style="258" bestFit="1" customWidth="1"/>
    <col min="2818" max="2818" width="39.28515625" style="258" customWidth="1"/>
    <col min="2819" max="2819" width="29.85546875" style="258" customWidth="1"/>
    <col min="2820" max="3072" width="11.42578125" style="258"/>
    <col min="3073" max="3073" width="5" style="258" bestFit="1" customWidth="1"/>
    <col min="3074" max="3074" width="39.28515625" style="258" customWidth="1"/>
    <col min="3075" max="3075" width="29.85546875" style="258" customWidth="1"/>
    <col min="3076" max="3328" width="11.42578125" style="258"/>
    <col min="3329" max="3329" width="5" style="258" bestFit="1" customWidth="1"/>
    <col min="3330" max="3330" width="39.28515625" style="258" customWidth="1"/>
    <col min="3331" max="3331" width="29.85546875" style="258" customWidth="1"/>
    <col min="3332" max="3584" width="11.42578125" style="258"/>
    <col min="3585" max="3585" width="5" style="258" bestFit="1" customWidth="1"/>
    <col min="3586" max="3586" width="39.28515625" style="258" customWidth="1"/>
    <col min="3587" max="3587" width="29.85546875" style="258" customWidth="1"/>
    <col min="3588" max="3840" width="11.42578125" style="258"/>
    <col min="3841" max="3841" width="5" style="258" bestFit="1" customWidth="1"/>
    <col min="3842" max="3842" width="39.28515625" style="258" customWidth="1"/>
    <col min="3843" max="3843" width="29.85546875" style="258" customWidth="1"/>
    <col min="3844" max="4096" width="11.42578125" style="258"/>
    <col min="4097" max="4097" width="5" style="258" bestFit="1" customWidth="1"/>
    <col min="4098" max="4098" width="39.28515625" style="258" customWidth="1"/>
    <col min="4099" max="4099" width="29.85546875" style="258" customWidth="1"/>
    <col min="4100" max="4352" width="11.42578125" style="258"/>
    <col min="4353" max="4353" width="5" style="258" bestFit="1" customWidth="1"/>
    <col min="4354" max="4354" width="39.28515625" style="258" customWidth="1"/>
    <col min="4355" max="4355" width="29.85546875" style="258" customWidth="1"/>
    <col min="4356" max="4608" width="11.42578125" style="258"/>
    <col min="4609" max="4609" width="5" style="258" bestFit="1" customWidth="1"/>
    <col min="4610" max="4610" width="39.28515625" style="258" customWidth="1"/>
    <col min="4611" max="4611" width="29.85546875" style="258" customWidth="1"/>
    <col min="4612" max="4864" width="11.42578125" style="258"/>
    <col min="4865" max="4865" width="5" style="258" bestFit="1" customWidth="1"/>
    <col min="4866" max="4866" width="39.28515625" style="258" customWidth="1"/>
    <col min="4867" max="4867" width="29.85546875" style="258" customWidth="1"/>
    <col min="4868" max="5120" width="11.42578125" style="258"/>
    <col min="5121" max="5121" width="5" style="258" bestFit="1" customWidth="1"/>
    <col min="5122" max="5122" width="39.28515625" style="258" customWidth="1"/>
    <col min="5123" max="5123" width="29.85546875" style="258" customWidth="1"/>
    <col min="5124" max="5376" width="11.42578125" style="258"/>
    <col min="5377" max="5377" width="5" style="258" bestFit="1" customWidth="1"/>
    <col min="5378" max="5378" width="39.28515625" style="258" customWidth="1"/>
    <col min="5379" max="5379" width="29.85546875" style="258" customWidth="1"/>
    <col min="5380" max="5632" width="11.42578125" style="258"/>
    <col min="5633" max="5633" width="5" style="258" bestFit="1" customWidth="1"/>
    <col min="5634" max="5634" width="39.28515625" style="258" customWidth="1"/>
    <col min="5635" max="5635" width="29.85546875" style="258" customWidth="1"/>
    <col min="5636" max="5888" width="11.42578125" style="258"/>
    <col min="5889" max="5889" width="5" style="258" bestFit="1" customWidth="1"/>
    <col min="5890" max="5890" width="39.28515625" style="258" customWidth="1"/>
    <col min="5891" max="5891" width="29.85546875" style="258" customWidth="1"/>
    <col min="5892" max="6144" width="11.42578125" style="258"/>
    <col min="6145" max="6145" width="5" style="258" bestFit="1" customWidth="1"/>
    <col min="6146" max="6146" width="39.28515625" style="258" customWidth="1"/>
    <col min="6147" max="6147" width="29.85546875" style="258" customWidth="1"/>
    <col min="6148" max="6400" width="11.42578125" style="258"/>
    <col min="6401" max="6401" width="5" style="258" bestFit="1" customWidth="1"/>
    <col min="6402" max="6402" width="39.28515625" style="258" customWidth="1"/>
    <col min="6403" max="6403" width="29.85546875" style="258" customWidth="1"/>
    <col min="6404" max="6656" width="11.42578125" style="258"/>
    <col min="6657" max="6657" width="5" style="258" bestFit="1" customWidth="1"/>
    <col min="6658" max="6658" width="39.28515625" style="258" customWidth="1"/>
    <col min="6659" max="6659" width="29.85546875" style="258" customWidth="1"/>
    <col min="6660" max="6912" width="11.42578125" style="258"/>
    <col min="6913" max="6913" width="5" style="258" bestFit="1" customWidth="1"/>
    <col min="6914" max="6914" width="39.28515625" style="258" customWidth="1"/>
    <col min="6915" max="6915" width="29.85546875" style="258" customWidth="1"/>
    <col min="6916" max="7168" width="11.42578125" style="258"/>
    <col min="7169" max="7169" width="5" style="258" bestFit="1" customWidth="1"/>
    <col min="7170" max="7170" width="39.28515625" style="258" customWidth="1"/>
    <col min="7171" max="7171" width="29.85546875" style="258" customWidth="1"/>
    <col min="7172" max="7424" width="11.42578125" style="258"/>
    <col min="7425" max="7425" width="5" style="258" bestFit="1" customWidth="1"/>
    <col min="7426" max="7426" width="39.28515625" style="258" customWidth="1"/>
    <col min="7427" max="7427" width="29.85546875" style="258" customWidth="1"/>
    <col min="7428" max="7680" width="11.42578125" style="258"/>
    <col min="7681" max="7681" width="5" style="258" bestFit="1" customWidth="1"/>
    <col min="7682" max="7682" width="39.28515625" style="258" customWidth="1"/>
    <col min="7683" max="7683" width="29.85546875" style="258" customWidth="1"/>
    <col min="7684" max="7936" width="11.42578125" style="258"/>
    <col min="7937" max="7937" width="5" style="258" bestFit="1" customWidth="1"/>
    <col min="7938" max="7938" width="39.28515625" style="258" customWidth="1"/>
    <col min="7939" max="7939" width="29.85546875" style="258" customWidth="1"/>
    <col min="7940" max="8192" width="11.42578125" style="258"/>
    <col min="8193" max="8193" width="5" style="258" bestFit="1" customWidth="1"/>
    <col min="8194" max="8194" width="39.28515625" style="258" customWidth="1"/>
    <col min="8195" max="8195" width="29.85546875" style="258" customWidth="1"/>
    <col min="8196" max="8448" width="11.42578125" style="258"/>
    <col min="8449" max="8449" width="5" style="258" bestFit="1" customWidth="1"/>
    <col min="8450" max="8450" width="39.28515625" style="258" customWidth="1"/>
    <col min="8451" max="8451" width="29.85546875" style="258" customWidth="1"/>
    <col min="8452" max="8704" width="11.42578125" style="258"/>
    <col min="8705" max="8705" width="5" style="258" bestFit="1" customWidth="1"/>
    <col min="8706" max="8706" width="39.28515625" style="258" customWidth="1"/>
    <col min="8707" max="8707" width="29.85546875" style="258" customWidth="1"/>
    <col min="8708" max="8960" width="11.42578125" style="258"/>
    <col min="8961" max="8961" width="5" style="258" bestFit="1" customWidth="1"/>
    <col min="8962" max="8962" width="39.28515625" style="258" customWidth="1"/>
    <col min="8963" max="8963" width="29.85546875" style="258" customWidth="1"/>
    <col min="8964" max="9216" width="11.42578125" style="258"/>
    <col min="9217" max="9217" width="5" style="258" bestFit="1" customWidth="1"/>
    <col min="9218" max="9218" width="39.28515625" style="258" customWidth="1"/>
    <col min="9219" max="9219" width="29.85546875" style="258" customWidth="1"/>
    <col min="9220" max="9472" width="11.42578125" style="258"/>
    <col min="9473" max="9473" width="5" style="258" bestFit="1" customWidth="1"/>
    <col min="9474" max="9474" width="39.28515625" style="258" customWidth="1"/>
    <col min="9475" max="9475" width="29.85546875" style="258" customWidth="1"/>
    <col min="9476" max="9728" width="11.42578125" style="258"/>
    <col min="9729" max="9729" width="5" style="258" bestFit="1" customWidth="1"/>
    <col min="9730" max="9730" width="39.28515625" style="258" customWidth="1"/>
    <col min="9731" max="9731" width="29.85546875" style="258" customWidth="1"/>
    <col min="9732" max="9984" width="11.42578125" style="258"/>
    <col min="9985" max="9985" width="5" style="258" bestFit="1" customWidth="1"/>
    <col min="9986" max="9986" width="39.28515625" style="258" customWidth="1"/>
    <col min="9987" max="9987" width="29.85546875" style="258" customWidth="1"/>
    <col min="9988" max="10240" width="11.42578125" style="258"/>
    <col min="10241" max="10241" width="5" style="258" bestFit="1" customWidth="1"/>
    <col min="10242" max="10242" width="39.28515625" style="258" customWidth="1"/>
    <col min="10243" max="10243" width="29.85546875" style="258" customWidth="1"/>
    <col min="10244" max="10496" width="11.42578125" style="258"/>
    <col min="10497" max="10497" width="5" style="258" bestFit="1" customWidth="1"/>
    <col min="10498" max="10498" width="39.28515625" style="258" customWidth="1"/>
    <col min="10499" max="10499" width="29.85546875" style="258" customWidth="1"/>
    <col min="10500" max="10752" width="11.42578125" style="258"/>
    <col min="10753" max="10753" width="5" style="258" bestFit="1" customWidth="1"/>
    <col min="10754" max="10754" width="39.28515625" style="258" customWidth="1"/>
    <col min="10755" max="10755" width="29.85546875" style="258" customWidth="1"/>
    <col min="10756" max="11008" width="11.42578125" style="258"/>
    <col min="11009" max="11009" width="5" style="258" bestFit="1" customWidth="1"/>
    <col min="11010" max="11010" width="39.28515625" style="258" customWidth="1"/>
    <col min="11011" max="11011" width="29.85546875" style="258" customWidth="1"/>
    <col min="11012" max="11264" width="11.42578125" style="258"/>
    <col min="11265" max="11265" width="5" style="258" bestFit="1" customWidth="1"/>
    <col min="11266" max="11266" width="39.28515625" style="258" customWidth="1"/>
    <col min="11267" max="11267" width="29.85546875" style="258" customWidth="1"/>
    <col min="11268" max="11520" width="11.42578125" style="258"/>
    <col min="11521" max="11521" width="5" style="258" bestFit="1" customWidth="1"/>
    <col min="11522" max="11522" width="39.28515625" style="258" customWidth="1"/>
    <col min="11523" max="11523" width="29.85546875" style="258" customWidth="1"/>
    <col min="11524" max="11776" width="11.42578125" style="258"/>
    <col min="11777" max="11777" width="5" style="258" bestFit="1" customWidth="1"/>
    <col min="11778" max="11778" width="39.28515625" style="258" customWidth="1"/>
    <col min="11779" max="11779" width="29.85546875" style="258" customWidth="1"/>
    <col min="11780" max="12032" width="11.42578125" style="258"/>
    <col min="12033" max="12033" width="5" style="258" bestFit="1" customWidth="1"/>
    <col min="12034" max="12034" width="39.28515625" style="258" customWidth="1"/>
    <col min="12035" max="12035" width="29.85546875" style="258" customWidth="1"/>
    <col min="12036" max="12288" width="11.42578125" style="258"/>
    <col min="12289" max="12289" width="5" style="258" bestFit="1" customWidth="1"/>
    <col min="12290" max="12290" width="39.28515625" style="258" customWidth="1"/>
    <col min="12291" max="12291" width="29.85546875" style="258" customWidth="1"/>
    <col min="12292" max="12544" width="11.42578125" style="258"/>
    <col min="12545" max="12545" width="5" style="258" bestFit="1" customWidth="1"/>
    <col min="12546" max="12546" width="39.28515625" style="258" customWidth="1"/>
    <col min="12547" max="12547" width="29.85546875" style="258" customWidth="1"/>
    <col min="12548" max="12800" width="11.42578125" style="258"/>
    <col min="12801" max="12801" width="5" style="258" bestFit="1" customWidth="1"/>
    <col min="12802" max="12802" width="39.28515625" style="258" customWidth="1"/>
    <col min="12803" max="12803" width="29.85546875" style="258" customWidth="1"/>
    <col min="12804" max="13056" width="11.42578125" style="258"/>
    <col min="13057" max="13057" width="5" style="258" bestFit="1" customWidth="1"/>
    <col min="13058" max="13058" width="39.28515625" style="258" customWidth="1"/>
    <col min="13059" max="13059" width="29.85546875" style="258" customWidth="1"/>
    <col min="13060" max="13312" width="11.42578125" style="258"/>
    <col min="13313" max="13313" width="5" style="258" bestFit="1" customWidth="1"/>
    <col min="13314" max="13314" width="39.28515625" style="258" customWidth="1"/>
    <col min="13315" max="13315" width="29.85546875" style="258" customWidth="1"/>
    <col min="13316" max="13568" width="11.42578125" style="258"/>
    <col min="13569" max="13569" width="5" style="258" bestFit="1" customWidth="1"/>
    <col min="13570" max="13570" width="39.28515625" style="258" customWidth="1"/>
    <col min="13571" max="13571" width="29.85546875" style="258" customWidth="1"/>
    <col min="13572" max="13824" width="11.42578125" style="258"/>
    <col min="13825" max="13825" width="5" style="258" bestFit="1" customWidth="1"/>
    <col min="13826" max="13826" width="39.28515625" style="258" customWidth="1"/>
    <col min="13827" max="13827" width="29.85546875" style="258" customWidth="1"/>
    <col min="13828" max="14080" width="11.42578125" style="258"/>
    <col min="14081" max="14081" width="5" style="258" bestFit="1" customWidth="1"/>
    <col min="14082" max="14082" width="39.28515625" style="258" customWidth="1"/>
    <col min="14083" max="14083" width="29.85546875" style="258" customWidth="1"/>
    <col min="14084" max="14336" width="11.42578125" style="258"/>
    <col min="14337" max="14337" width="5" style="258" bestFit="1" customWidth="1"/>
    <col min="14338" max="14338" width="39.28515625" style="258" customWidth="1"/>
    <col min="14339" max="14339" width="29.85546875" style="258" customWidth="1"/>
    <col min="14340" max="14592" width="11.42578125" style="258"/>
    <col min="14593" max="14593" width="5" style="258" bestFit="1" customWidth="1"/>
    <col min="14594" max="14594" width="39.28515625" style="258" customWidth="1"/>
    <col min="14595" max="14595" width="29.85546875" style="258" customWidth="1"/>
    <col min="14596" max="14848" width="11.42578125" style="258"/>
    <col min="14849" max="14849" width="5" style="258" bestFit="1" customWidth="1"/>
    <col min="14850" max="14850" width="39.28515625" style="258" customWidth="1"/>
    <col min="14851" max="14851" width="29.85546875" style="258" customWidth="1"/>
    <col min="14852" max="15104" width="11.42578125" style="258"/>
    <col min="15105" max="15105" width="5" style="258" bestFit="1" customWidth="1"/>
    <col min="15106" max="15106" width="39.28515625" style="258" customWidth="1"/>
    <col min="15107" max="15107" width="29.85546875" style="258" customWidth="1"/>
    <col min="15108" max="15360" width="11.42578125" style="258"/>
    <col min="15361" max="15361" width="5" style="258" bestFit="1" customWidth="1"/>
    <col min="15362" max="15362" width="39.28515625" style="258" customWidth="1"/>
    <col min="15363" max="15363" width="29.85546875" style="258" customWidth="1"/>
    <col min="15364" max="15616" width="11.42578125" style="258"/>
    <col min="15617" max="15617" width="5" style="258" bestFit="1" customWidth="1"/>
    <col min="15618" max="15618" width="39.28515625" style="258" customWidth="1"/>
    <col min="15619" max="15619" width="29.85546875" style="258" customWidth="1"/>
    <col min="15620" max="15872" width="11.42578125" style="258"/>
    <col min="15873" max="15873" width="5" style="258" bestFit="1" customWidth="1"/>
    <col min="15874" max="15874" width="39.28515625" style="258" customWidth="1"/>
    <col min="15875" max="15875" width="29.85546875" style="258" customWidth="1"/>
    <col min="15876" max="16128" width="11.42578125" style="258"/>
    <col min="16129" max="16129" width="5" style="258" bestFit="1" customWidth="1"/>
    <col min="16130" max="16130" width="39.28515625" style="258" customWidth="1"/>
    <col min="16131" max="16131" width="29.85546875" style="258" customWidth="1"/>
    <col min="16132" max="16384" width="11.42578125" style="258"/>
  </cols>
  <sheetData>
    <row r="1" spans="1:4" x14ac:dyDescent="0.2">
      <c r="A1" s="242" t="s">
        <v>121</v>
      </c>
      <c r="B1" s="242"/>
      <c r="C1" s="242"/>
    </row>
    <row r="2" spans="1:4" x14ac:dyDescent="0.2">
      <c r="A2" s="242" t="s">
        <v>122</v>
      </c>
      <c r="B2" s="242"/>
      <c r="C2" s="242"/>
    </row>
    <row r="3" spans="1:4" x14ac:dyDescent="0.2">
      <c r="A3" s="242" t="s">
        <v>203</v>
      </c>
      <c r="B3" s="242"/>
      <c r="C3" s="242"/>
    </row>
    <row r="4" spans="1:4" x14ac:dyDescent="0.2">
      <c r="A4" s="242" t="s">
        <v>204</v>
      </c>
      <c r="B4" s="242"/>
      <c r="C4" s="242"/>
    </row>
    <row r="5" spans="1:4" ht="13.5" thickBot="1" x14ac:dyDescent="0.25"/>
    <row r="6" spans="1:4" ht="39.75" thickTop="1" thickBot="1" x14ac:dyDescent="0.25">
      <c r="A6" s="98" t="s">
        <v>205</v>
      </c>
      <c r="B6" s="259" t="s">
        <v>206</v>
      </c>
      <c r="C6" s="181" t="s">
        <v>207</v>
      </c>
      <c r="D6" s="260"/>
    </row>
    <row r="7" spans="1:4" ht="13.5" thickTop="1" x14ac:dyDescent="0.2">
      <c r="A7" s="100">
        <v>15</v>
      </c>
      <c r="B7" s="101" t="s">
        <v>1</v>
      </c>
      <c r="C7" s="182">
        <v>22111.980387504351</v>
      </c>
    </row>
    <row r="8" spans="1:4" x14ac:dyDescent="0.2">
      <c r="A8" s="100">
        <v>11</v>
      </c>
      <c r="B8" s="101" t="s">
        <v>2</v>
      </c>
      <c r="C8" s="182">
        <v>60364.0924447199</v>
      </c>
    </row>
    <row r="9" spans="1:4" x14ac:dyDescent="0.2">
      <c r="A9" s="100">
        <v>12</v>
      </c>
      <c r="B9" s="101" t="s">
        <v>208</v>
      </c>
      <c r="C9" s="182">
        <v>12266.500068980515</v>
      </c>
    </row>
    <row r="10" spans="1:4" x14ac:dyDescent="0.2">
      <c r="A10" s="100">
        <v>13</v>
      </c>
      <c r="B10" s="101" t="s">
        <v>4</v>
      </c>
      <c r="C10" s="182">
        <v>572060.06681346416</v>
      </c>
    </row>
    <row r="11" spans="1:4" x14ac:dyDescent="0.2">
      <c r="A11" s="100">
        <v>14</v>
      </c>
      <c r="B11" s="101" t="s">
        <v>5</v>
      </c>
      <c r="C11" s="182">
        <v>128367.84721310298</v>
      </c>
    </row>
    <row r="12" spans="1:4" x14ac:dyDescent="0.2">
      <c r="A12" s="100">
        <v>17</v>
      </c>
      <c r="B12" s="101" t="s">
        <v>6</v>
      </c>
      <c r="C12" s="182">
        <v>4428367.9262186643</v>
      </c>
    </row>
    <row r="13" spans="1:4" x14ac:dyDescent="0.2">
      <c r="A13" s="100">
        <v>16</v>
      </c>
      <c r="B13" s="101" t="s">
        <v>7</v>
      </c>
      <c r="C13" s="182">
        <v>63645.91921756119</v>
      </c>
    </row>
    <row r="14" spans="1:4" x14ac:dyDescent="0.2">
      <c r="A14" s="100">
        <v>18</v>
      </c>
      <c r="B14" s="101" t="s">
        <v>8</v>
      </c>
      <c r="C14" s="182">
        <v>25124.804965850439</v>
      </c>
    </row>
    <row r="15" spans="1:4" x14ac:dyDescent="0.2">
      <c r="A15" s="100">
        <v>19</v>
      </c>
      <c r="B15" s="101" t="s">
        <v>209</v>
      </c>
      <c r="C15" s="182">
        <v>1212446.6910287058</v>
      </c>
    </row>
    <row r="16" spans="1:4" x14ac:dyDescent="0.2">
      <c r="A16" s="100">
        <v>20</v>
      </c>
      <c r="B16" s="101" t="s">
        <v>210</v>
      </c>
      <c r="C16" s="182">
        <v>119705.9765503581</v>
      </c>
    </row>
    <row r="17" spans="1:3" x14ac:dyDescent="0.2">
      <c r="A17" s="100">
        <v>23</v>
      </c>
      <c r="B17" s="101" t="s">
        <v>138</v>
      </c>
      <c r="C17" s="182">
        <v>123633.40858998784</v>
      </c>
    </row>
    <row r="18" spans="1:3" x14ac:dyDescent="0.2">
      <c r="A18" s="100">
        <v>21</v>
      </c>
      <c r="B18" s="101" t="s">
        <v>211</v>
      </c>
      <c r="C18" s="182">
        <v>136706.91524245389</v>
      </c>
    </row>
    <row r="19" spans="1:3" x14ac:dyDescent="0.2">
      <c r="A19" s="100">
        <v>22</v>
      </c>
      <c r="B19" s="101" t="s">
        <v>13</v>
      </c>
      <c r="C19" s="182">
        <v>223648.42450329824</v>
      </c>
    </row>
    <row r="20" spans="1:3" x14ac:dyDescent="0.2">
      <c r="A20" s="100">
        <v>25</v>
      </c>
      <c r="B20" s="101" t="s">
        <v>212</v>
      </c>
      <c r="C20" s="182">
        <v>286756.33933186909</v>
      </c>
    </row>
    <row r="21" spans="1:3" x14ac:dyDescent="0.2">
      <c r="A21" s="100">
        <v>27</v>
      </c>
      <c r="B21" s="101" t="s">
        <v>213</v>
      </c>
      <c r="C21" s="182">
        <v>25878.011110436964</v>
      </c>
    </row>
    <row r="22" spans="1:3" x14ac:dyDescent="0.2">
      <c r="A22" s="100">
        <v>26</v>
      </c>
      <c r="B22" s="101" t="s">
        <v>214</v>
      </c>
      <c r="C22" s="182">
        <v>30881.451928047438</v>
      </c>
    </row>
    <row r="23" spans="1:3" x14ac:dyDescent="0.2">
      <c r="A23" s="100">
        <v>29</v>
      </c>
      <c r="B23" s="101" t="s">
        <v>17</v>
      </c>
      <c r="C23" s="182">
        <v>276749.45769664808</v>
      </c>
    </row>
    <row r="24" spans="1:3" x14ac:dyDescent="0.2">
      <c r="A24" s="100">
        <v>30</v>
      </c>
      <c r="B24" s="101" t="s">
        <v>215</v>
      </c>
      <c r="C24" s="182">
        <v>786185.81363163283</v>
      </c>
    </row>
    <row r="25" spans="1:3" x14ac:dyDescent="0.2">
      <c r="A25" s="100">
        <v>32</v>
      </c>
      <c r="B25" s="101" t="s">
        <v>216</v>
      </c>
      <c r="C25" s="182">
        <v>70209.572763243748</v>
      </c>
    </row>
    <row r="26" spans="1:3" x14ac:dyDescent="0.2">
      <c r="A26" s="100">
        <v>33</v>
      </c>
      <c r="B26" s="101" t="s">
        <v>217</v>
      </c>
      <c r="C26" s="182">
        <v>2724023.8223360591</v>
      </c>
    </row>
    <row r="27" spans="1:3" x14ac:dyDescent="0.2">
      <c r="A27" s="100">
        <v>34</v>
      </c>
      <c r="B27" s="101" t="s">
        <v>21</v>
      </c>
      <c r="C27" s="182">
        <v>184374.10410700098</v>
      </c>
    </row>
    <row r="28" spans="1:3" x14ac:dyDescent="0.2">
      <c r="A28" s="100">
        <v>35</v>
      </c>
      <c r="B28" s="101" t="s">
        <v>218</v>
      </c>
      <c r="C28" s="182">
        <v>18292.1492256727</v>
      </c>
    </row>
    <row r="29" spans="1:3" x14ac:dyDescent="0.2">
      <c r="A29" s="100">
        <v>61</v>
      </c>
      <c r="B29" s="101" t="s">
        <v>219</v>
      </c>
      <c r="C29" s="182">
        <v>17700.344397783287</v>
      </c>
    </row>
    <row r="30" spans="1:3" x14ac:dyDescent="0.2">
      <c r="A30" s="100">
        <v>36</v>
      </c>
      <c r="B30" s="101" t="s">
        <v>220</v>
      </c>
      <c r="C30" s="182">
        <v>170170.78823765516</v>
      </c>
    </row>
    <row r="31" spans="1:3" x14ac:dyDescent="0.2">
      <c r="A31" s="100">
        <v>28</v>
      </c>
      <c r="B31" s="101" t="s">
        <v>25</v>
      </c>
      <c r="C31" s="182">
        <v>7956977.3122898266</v>
      </c>
    </row>
    <row r="32" spans="1:3" x14ac:dyDescent="0.2">
      <c r="A32" s="100">
        <v>37</v>
      </c>
      <c r="B32" s="101" t="s">
        <v>221</v>
      </c>
      <c r="C32" s="182">
        <v>19475.758881451522</v>
      </c>
    </row>
    <row r="33" spans="1:3" x14ac:dyDescent="0.2">
      <c r="A33" s="100">
        <v>39</v>
      </c>
      <c r="B33" s="101" t="s">
        <v>27</v>
      </c>
      <c r="C33" s="182">
        <v>140472.94596538652</v>
      </c>
    </row>
    <row r="34" spans="1:3" x14ac:dyDescent="0.2">
      <c r="A34" s="100">
        <v>38</v>
      </c>
      <c r="B34" s="101" t="s">
        <v>28</v>
      </c>
      <c r="C34" s="182">
        <v>13772.912358153562</v>
      </c>
    </row>
    <row r="35" spans="1:3" x14ac:dyDescent="0.2">
      <c r="A35" s="100">
        <v>40</v>
      </c>
      <c r="B35" s="101" t="s">
        <v>29</v>
      </c>
      <c r="C35" s="182">
        <v>65367.533262330384</v>
      </c>
    </row>
    <row r="36" spans="1:3" x14ac:dyDescent="0.2">
      <c r="A36" s="100">
        <v>41</v>
      </c>
      <c r="B36" s="101" t="s">
        <v>30</v>
      </c>
      <c r="C36" s="182">
        <v>16355.333425307355</v>
      </c>
    </row>
    <row r="37" spans="1:3" x14ac:dyDescent="0.2">
      <c r="A37" s="100">
        <v>42</v>
      </c>
      <c r="B37" s="101" t="s">
        <v>222</v>
      </c>
      <c r="C37" s="182">
        <v>1063311.8744005742</v>
      </c>
    </row>
    <row r="38" spans="1:3" x14ac:dyDescent="0.2">
      <c r="A38" s="100">
        <v>43</v>
      </c>
      <c r="B38" s="101" t="s">
        <v>223</v>
      </c>
      <c r="C38" s="182">
        <v>38574.914690609789</v>
      </c>
    </row>
    <row r="39" spans="1:3" x14ac:dyDescent="0.2">
      <c r="A39" s="100">
        <v>44</v>
      </c>
      <c r="B39" s="101" t="s">
        <v>33</v>
      </c>
      <c r="C39" s="182">
        <v>603802.32576389622</v>
      </c>
    </row>
    <row r="40" spans="1:3" x14ac:dyDescent="0.2">
      <c r="A40" s="100">
        <v>46</v>
      </c>
      <c r="B40" s="101" t="s">
        <v>34</v>
      </c>
      <c r="C40" s="182">
        <v>54661.245921421956</v>
      </c>
    </row>
    <row r="41" spans="1:3" x14ac:dyDescent="0.2">
      <c r="A41" s="100">
        <v>49</v>
      </c>
      <c r="B41" s="101" t="s">
        <v>35</v>
      </c>
      <c r="C41" s="182">
        <v>12481.701824576665</v>
      </c>
    </row>
    <row r="42" spans="1:3" x14ac:dyDescent="0.2">
      <c r="A42" s="100">
        <v>48</v>
      </c>
      <c r="B42" s="101" t="s">
        <v>36</v>
      </c>
      <c r="C42" s="182">
        <v>30827.651489148404</v>
      </c>
    </row>
    <row r="43" spans="1:3" x14ac:dyDescent="0.2">
      <c r="A43" s="100">
        <v>47</v>
      </c>
      <c r="B43" s="101" t="s">
        <v>37</v>
      </c>
      <c r="C43" s="182">
        <v>39597.123029691487</v>
      </c>
    </row>
    <row r="44" spans="1:3" x14ac:dyDescent="0.2">
      <c r="A44" s="100">
        <v>45</v>
      </c>
      <c r="B44" s="101" t="s">
        <v>38</v>
      </c>
      <c r="C44" s="182">
        <v>722862.69704746583</v>
      </c>
    </row>
    <row r="45" spans="1:3" x14ac:dyDescent="0.2">
      <c r="A45" s="100">
        <v>70</v>
      </c>
      <c r="B45" s="101" t="s">
        <v>39</v>
      </c>
      <c r="C45" s="182">
        <v>19444985.030401275</v>
      </c>
    </row>
    <row r="46" spans="1:3" x14ac:dyDescent="0.2">
      <c r="A46" s="100">
        <v>50</v>
      </c>
      <c r="B46" s="101" t="s">
        <v>40</v>
      </c>
      <c r="C46" s="182">
        <v>10544.886024211321</v>
      </c>
    </row>
    <row r="47" spans="1:3" x14ac:dyDescent="0.2">
      <c r="A47" s="100">
        <v>51</v>
      </c>
      <c r="B47" s="101" t="s">
        <v>224</v>
      </c>
      <c r="C47" s="182">
        <v>181737.88260094819</v>
      </c>
    </row>
    <row r="48" spans="1:3" x14ac:dyDescent="0.2">
      <c r="A48" s="100">
        <v>52</v>
      </c>
      <c r="B48" s="101" t="s">
        <v>225</v>
      </c>
      <c r="C48" s="182">
        <v>61972.833120000003</v>
      </c>
    </row>
    <row r="49" spans="1:3" x14ac:dyDescent="0.2">
      <c r="A49" s="100">
        <v>53</v>
      </c>
      <c r="B49" s="101" t="s">
        <v>43</v>
      </c>
      <c r="C49" s="182">
        <v>12481.701824576665</v>
      </c>
    </row>
    <row r="50" spans="1:3" x14ac:dyDescent="0.2">
      <c r="A50" s="100">
        <v>54</v>
      </c>
      <c r="B50" s="101" t="s">
        <v>44</v>
      </c>
      <c r="C50" s="182">
        <v>417330.00453983276</v>
      </c>
    </row>
    <row r="51" spans="1:3" x14ac:dyDescent="0.2">
      <c r="A51" s="100">
        <v>55</v>
      </c>
      <c r="B51" s="101" t="s">
        <v>45</v>
      </c>
      <c r="C51" s="182">
        <v>214448.5494515629</v>
      </c>
    </row>
    <row r="52" spans="1:3" x14ac:dyDescent="0.2">
      <c r="A52" s="100">
        <v>58</v>
      </c>
      <c r="B52" s="101" t="s">
        <v>46</v>
      </c>
      <c r="C52" s="182">
        <v>7319226.9095806377</v>
      </c>
    </row>
    <row r="53" spans="1:3" x14ac:dyDescent="0.2">
      <c r="A53" s="100">
        <v>31</v>
      </c>
      <c r="B53" s="101" t="s">
        <v>226</v>
      </c>
      <c r="C53" s="182">
        <v>4078665.0733749205</v>
      </c>
    </row>
    <row r="54" spans="1:3" x14ac:dyDescent="0.2">
      <c r="A54" s="100">
        <v>57</v>
      </c>
      <c r="B54" s="101" t="s">
        <v>48</v>
      </c>
      <c r="C54" s="182">
        <v>2618843.964288441</v>
      </c>
    </row>
    <row r="55" spans="1:3" x14ac:dyDescent="0.2">
      <c r="A55" s="100">
        <v>56</v>
      </c>
      <c r="B55" s="101" t="s">
        <v>227</v>
      </c>
      <c r="C55" s="182">
        <v>719473.26939682651</v>
      </c>
    </row>
    <row r="56" spans="1:3" x14ac:dyDescent="0.2">
      <c r="A56" s="100">
        <v>59</v>
      </c>
      <c r="B56" s="101" t="s">
        <v>50</v>
      </c>
      <c r="C56" s="182">
        <v>18023.147031177512</v>
      </c>
    </row>
    <row r="57" spans="1:3" ht="13.5" thickBot="1" x14ac:dyDescent="0.25">
      <c r="A57" s="100">
        <v>60</v>
      </c>
      <c r="B57" s="101" t="s">
        <v>51</v>
      </c>
      <c r="C57" s="182">
        <v>41372.537513359726</v>
      </c>
    </row>
    <row r="58" spans="1:3" ht="14.25" thickTop="1" thickBot="1" x14ac:dyDescent="0.25">
      <c r="A58" s="102"/>
      <c r="B58" s="103"/>
      <c r="C58" s="183">
        <f>SUM(C7:C57)</f>
        <v>57637319.527508318</v>
      </c>
    </row>
    <row r="59" spans="1:3" ht="13.5" thickTop="1" x14ac:dyDescent="0.2">
      <c r="C59" s="261"/>
    </row>
    <row r="60" spans="1:3" x14ac:dyDescent="0.2">
      <c r="B60" s="262"/>
      <c r="C60" s="26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Q87"/>
  <sheetViews>
    <sheetView topLeftCell="U1" workbookViewId="0">
      <selection activeCell="C27" sqref="C27"/>
    </sheetView>
  </sheetViews>
  <sheetFormatPr baseColWidth="10" defaultColWidth="9.7109375" defaultRowHeight="12.75" x14ac:dyDescent="0.2"/>
  <cols>
    <col min="1" max="1" width="28.85546875" style="8" customWidth="1"/>
    <col min="2" max="6" width="15.7109375" style="8" customWidth="1"/>
    <col min="7" max="7" width="12.42578125" style="8" customWidth="1"/>
    <col min="8" max="8" width="15.42578125" style="8" customWidth="1"/>
    <col min="9" max="9" width="12.5703125" style="68" customWidth="1"/>
    <col min="10" max="10" width="12.28515625" style="8" customWidth="1"/>
    <col min="11" max="11" width="15.5703125" style="8" customWidth="1"/>
    <col min="12" max="12" width="12" style="68" customWidth="1"/>
    <col min="13" max="13" width="17.7109375" style="70" customWidth="1"/>
    <col min="14" max="17" width="12.7109375" style="8" customWidth="1"/>
    <col min="18" max="22" width="14.140625" style="8" customWidth="1"/>
    <col min="23" max="26" width="12.7109375" style="8" customWidth="1"/>
    <col min="27" max="27" width="14.5703125" style="8" customWidth="1"/>
    <col min="28" max="31" width="15.7109375" style="8" customWidth="1"/>
    <col min="32" max="32" width="15.7109375" style="68" customWidth="1"/>
    <col min="33" max="34" width="15.7109375" style="8" customWidth="1"/>
    <col min="35" max="36" width="14.7109375" style="68" customWidth="1"/>
    <col min="37" max="37" width="14.7109375" style="70" customWidth="1"/>
    <col min="38" max="38" width="1.7109375" style="6" customWidth="1"/>
    <col min="39" max="41" width="18.42578125" style="8" customWidth="1"/>
    <col min="42" max="42" width="20.140625" style="8" customWidth="1"/>
    <col min="43" max="43" width="16.140625" style="8" bestFit="1" customWidth="1"/>
    <col min="44" max="16384" width="9.7109375" style="8"/>
  </cols>
  <sheetData>
    <row r="1" spans="1:43" ht="33" customHeight="1" x14ac:dyDescent="0.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26.25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</row>
    <row r="3" spans="1:43" ht="18.75" thickBot="1" x14ac:dyDescent="0.3">
      <c r="B3" s="237" t="s">
        <v>114</v>
      </c>
      <c r="C3" s="237"/>
      <c r="D3" s="237"/>
      <c r="E3" s="237"/>
      <c r="F3" s="237"/>
      <c r="G3" s="238" t="s">
        <v>66</v>
      </c>
      <c r="H3" s="238"/>
      <c r="I3" s="238"/>
      <c r="J3" s="238"/>
      <c r="K3" s="238"/>
      <c r="L3" s="238"/>
      <c r="M3" s="238"/>
      <c r="N3" s="238" t="s">
        <v>110</v>
      </c>
      <c r="O3" s="238"/>
      <c r="P3" s="238"/>
      <c r="Q3" s="238"/>
      <c r="R3" s="238"/>
      <c r="S3" s="238"/>
      <c r="T3" s="238"/>
      <c r="U3" s="238" t="s">
        <v>110</v>
      </c>
      <c r="V3" s="238"/>
      <c r="W3" s="238"/>
      <c r="X3" s="238"/>
      <c r="Y3" s="238"/>
      <c r="Z3" s="238"/>
      <c r="AA3" s="238"/>
      <c r="AB3" s="238" t="s">
        <v>110</v>
      </c>
      <c r="AC3" s="238"/>
      <c r="AD3" s="238"/>
      <c r="AE3" s="238"/>
      <c r="AF3" s="238"/>
      <c r="AG3" s="238"/>
      <c r="AH3" s="237" t="s">
        <v>110</v>
      </c>
      <c r="AI3" s="237"/>
      <c r="AJ3" s="237"/>
      <c r="AK3" s="237"/>
      <c r="AM3" s="237" t="s">
        <v>175</v>
      </c>
      <c r="AN3" s="237"/>
      <c r="AO3" s="237"/>
      <c r="AP3" s="237"/>
      <c r="AQ3" s="237"/>
    </row>
    <row r="4" spans="1:43" ht="77.25" thickBot="1" x14ac:dyDescent="0.25">
      <c r="A4" s="4" t="s">
        <v>0</v>
      </c>
      <c r="B4" s="146" t="s">
        <v>165</v>
      </c>
      <c r="C4" s="4" t="s">
        <v>166</v>
      </c>
      <c r="D4" s="146" t="s">
        <v>167</v>
      </c>
      <c r="E4" s="147" t="s">
        <v>168</v>
      </c>
      <c r="F4" s="148" t="s">
        <v>108</v>
      </c>
      <c r="G4" s="4" t="s">
        <v>92</v>
      </c>
      <c r="H4" s="146" t="s">
        <v>93</v>
      </c>
      <c r="I4" s="5">
        <v>0.85</v>
      </c>
      <c r="J4" s="4" t="s">
        <v>56</v>
      </c>
      <c r="K4" s="146" t="s">
        <v>94</v>
      </c>
      <c r="L4" s="5">
        <v>0.15</v>
      </c>
      <c r="M4" s="149" t="s">
        <v>95</v>
      </c>
      <c r="N4" s="4" t="s">
        <v>79</v>
      </c>
      <c r="O4" s="4" t="s">
        <v>80</v>
      </c>
      <c r="P4" s="4" t="s">
        <v>96</v>
      </c>
      <c r="Q4" s="4" t="s">
        <v>97</v>
      </c>
      <c r="R4" s="4" t="s">
        <v>81</v>
      </c>
      <c r="S4" s="4" t="s">
        <v>104</v>
      </c>
      <c r="T4" s="4" t="s">
        <v>105</v>
      </c>
      <c r="U4" s="4" t="s">
        <v>100</v>
      </c>
      <c r="V4" s="4" t="s">
        <v>61</v>
      </c>
      <c r="W4" s="4" t="s">
        <v>90</v>
      </c>
      <c r="X4" s="4" t="s">
        <v>91</v>
      </c>
      <c r="Y4" s="4" t="s">
        <v>107</v>
      </c>
      <c r="Z4" s="4" t="s">
        <v>106</v>
      </c>
      <c r="AA4" s="4" t="s">
        <v>81</v>
      </c>
      <c r="AB4" s="4" t="s">
        <v>99</v>
      </c>
      <c r="AC4" s="4" t="s">
        <v>102</v>
      </c>
      <c r="AD4" s="4" t="s">
        <v>101</v>
      </c>
      <c r="AE4" s="4" t="s">
        <v>60</v>
      </c>
      <c r="AF4" s="5">
        <v>0.85</v>
      </c>
      <c r="AG4" s="4" t="s">
        <v>103</v>
      </c>
      <c r="AH4" s="147" t="s">
        <v>62</v>
      </c>
      <c r="AI4" s="7" t="s">
        <v>64</v>
      </c>
      <c r="AJ4" s="5">
        <v>0.15</v>
      </c>
      <c r="AK4" s="149" t="s">
        <v>98</v>
      </c>
      <c r="AM4" s="150" t="s">
        <v>113</v>
      </c>
      <c r="AN4" s="150" t="s">
        <v>111</v>
      </c>
      <c r="AO4" s="150" t="s">
        <v>112</v>
      </c>
      <c r="AP4" s="150" t="s">
        <v>69</v>
      </c>
      <c r="AQ4" s="150" t="s">
        <v>109</v>
      </c>
    </row>
    <row r="5" spans="1:43" s="11" customFormat="1" ht="33.75" x14ac:dyDescent="0.2">
      <c r="A5" s="76"/>
      <c r="B5" s="151" t="s">
        <v>169</v>
      </c>
      <c r="C5" s="152" t="s">
        <v>170</v>
      </c>
      <c r="D5" s="152" t="s">
        <v>53</v>
      </c>
      <c r="E5" s="152" t="s">
        <v>54</v>
      </c>
      <c r="F5" s="153" t="s">
        <v>72</v>
      </c>
      <c r="G5" s="76" t="s">
        <v>55</v>
      </c>
      <c r="H5" s="152" t="s">
        <v>71</v>
      </c>
      <c r="I5" s="154" t="s">
        <v>73</v>
      </c>
      <c r="J5" s="9" t="s">
        <v>65</v>
      </c>
      <c r="K5" s="152" t="s">
        <v>74</v>
      </c>
      <c r="L5" s="154" t="s">
        <v>75</v>
      </c>
      <c r="M5" s="155" t="s">
        <v>67</v>
      </c>
      <c r="N5" s="9" t="s">
        <v>82</v>
      </c>
      <c r="O5" s="9" t="s">
        <v>83</v>
      </c>
      <c r="P5" s="9" t="s">
        <v>84</v>
      </c>
      <c r="Q5" s="9" t="s">
        <v>85</v>
      </c>
      <c r="R5" s="9" t="s">
        <v>86</v>
      </c>
      <c r="S5" s="9" t="s">
        <v>87</v>
      </c>
      <c r="T5" s="9" t="s">
        <v>88</v>
      </c>
      <c r="U5" s="9" t="s">
        <v>89</v>
      </c>
      <c r="V5" s="76" t="s">
        <v>58</v>
      </c>
      <c r="W5" s="9" t="s">
        <v>82</v>
      </c>
      <c r="X5" s="9" t="s">
        <v>83</v>
      </c>
      <c r="Y5" s="9" t="s">
        <v>84</v>
      </c>
      <c r="Z5" s="9" t="s">
        <v>85</v>
      </c>
      <c r="AA5" s="9" t="s">
        <v>86</v>
      </c>
      <c r="AB5" s="9" t="s">
        <v>87</v>
      </c>
      <c r="AC5" s="9" t="s">
        <v>88</v>
      </c>
      <c r="AD5" s="9" t="s">
        <v>89</v>
      </c>
      <c r="AE5" s="152" t="s">
        <v>57</v>
      </c>
      <c r="AF5" s="154" t="s">
        <v>76</v>
      </c>
      <c r="AG5" s="152" t="s">
        <v>63</v>
      </c>
      <c r="AH5" s="152" t="s">
        <v>59</v>
      </c>
      <c r="AI5" s="154" t="s">
        <v>77</v>
      </c>
      <c r="AJ5" s="154" t="s">
        <v>78</v>
      </c>
      <c r="AK5" s="156" t="s">
        <v>171</v>
      </c>
      <c r="AL5" s="10"/>
      <c r="AM5" s="9">
        <f>+AP5*0.5</f>
        <v>2837579540.8000002</v>
      </c>
      <c r="AN5" s="9">
        <f>+AP5*0.25</f>
        <v>1418789770.4000001</v>
      </c>
      <c r="AO5" s="9">
        <f>+AP5*0.25</f>
        <v>1418789770.4000001</v>
      </c>
      <c r="AP5" s="9">
        <v>5675159081.6000004</v>
      </c>
    </row>
    <row r="6" spans="1:43" s="17" customFormat="1" ht="23.25" customHeight="1" thickBot="1" x14ac:dyDescent="0.25">
      <c r="A6" s="12"/>
      <c r="B6" s="13"/>
      <c r="C6" s="13"/>
      <c r="D6" s="13"/>
      <c r="E6" s="13"/>
      <c r="F6" s="157"/>
      <c r="G6" s="12"/>
      <c r="H6" s="13"/>
      <c r="I6" s="14"/>
      <c r="J6" s="13"/>
      <c r="K6" s="13"/>
      <c r="L6" s="14"/>
      <c r="M6" s="158"/>
      <c r="N6" s="9"/>
      <c r="O6" s="9"/>
      <c r="P6" s="9"/>
      <c r="Q6" s="9"/>
      <c r="R6" s="9"/>
      <c r="S6" s="9"/>
      <c r="T6" s="9"/>
      <c r="U6" s="9"/>
      <c r="V6" s="12"/>
      <c r="W6" s="9"/>
      <c r="X6" s="9"/>
      <c r="Y6" s="9"/>
      <c r="Z6" s="9"/>
      <c r="AA6" s="9"/>
      <c r="AB6" s="9"/>
      <c r="AC6" s="9"/>
      <c r="AD6" s="9"/>
      <c r="AE6" s="13"/>
      <c r="AF6" s="15"/>
      <c r="AG6" s="13"/>
      <c r="AH6" s="13"/>
      <c r="AI6" s="14"/>
      <c r="AJ6" s="14"/>
      <c r="AK6" s="158"/>
      <c r="AL6" s="13"/>
      <c r="AM6" s="9" t="s">
        <v>115</v>
      </c>
      <c r="AN6" s="9" t="s">
        <v>116</v>
      </c>
      <c r="AO6" s="9" t="s">
        <v>70</v>
      </c>
      <c r="AP6" s="16" t="s">
        <v>117</v>
      </c>
      <c r="AQ6" s="16" t="s">
        <v>68</v>
      </c>
    </row>
    <row r="7" spans="1:43" ht="15" thickTop="1" x14ac:dyDescent="0.2">
      <c r="A7" s="1" t="s">
        <v>1</v>
      </c>
      <c r="B7" s="20">
        <v>450842</v>
      </c>
      <c r="C7" s="20">
        <v>87883</v>
      </c>
      <c r="D7" s="29">
        <f t="shared" ref="D7:D57" si="0">+C7/B7</f>
        <v>0.19493081833547007</v>
      </c>
      <c r="E7" s="30">
        <f>+D7*C7</f>
        <v>17131.105107776115</v>
      </c>
      <c r="F7" s="83">
        <f t="shared" ref="F7:F57" si="1">+E7/E$58</f>
        <v>1.5067275638797558E-5</v>
      </c>
      <c r="G7" s="159">
        <v>2791</v>
      </c>
      <c r="H7" s="80">
        <f t="shared" ref="H7:H57" si="2">+G7/$G$58</f>
        <v>5.9976903197579094E-4</v>
      </c>
      <c r="I7" s="19">
        <f>+H7*I$4</f>
        <v>5.0980367717942232E-4</v>
      </c>
      <c r="J7" s="20">
        <v>47.45</v>
      </c>
      <c r="K7" s="77">
        <f t="shared" ref="K7:K58" si="3">+J7/$J$58</f>
        <v>7.3886478603129777E-4</v>
      </c>
      <c r="L7" s="21">
        <f>+K7*L$4</f>
        <v>1.1082971790469465E-4</v>
      </c>
      <c r="M7" s="83">
        <f>+L7+I7</f>
        <v>6.20633395084117E-4</v>
      </c>
      <c r="N7" s="22">
        <v>334</v>
      </c>
      <c r="O7" s="23">
        <v>78</v>
      </c>
      <c r="P7" s="23">
        <v>539</v>
      </c>
      <c r="Q7" s="23">
        <v>28</v>
      </c>
      <c r="R7" s="24">
        <f>+N7/N$58*0.25</f>
        <v>1.9531661173630621E-4</v>
      </c>
      <c r="S7" s="24">
        <f t="shared" ref="S7:U22" si="4">+O7/O$58*0.25</f>
        <v>2.2168411718563488E-4</v>
      </c>
      <c r="T7" s="24">
        <f t="shared" si="4"/>
        <v>4.0332477297080497E-4</v>
      </c>
      <c r="U7" s="24">
        <f t="shared" si="4"/>
        <v>1.788314641187441E-4</v>
      </c>
      <c r="V7" s="25">
        <f>SUM(R7:U7)</f>
        <v>9.9915696601149016E-4</v>
      </c>
      <c r="W7" s="26">
        <v>194.999999997044</v>
      </c>
      <c r="X7" s="26">
        <v>51</v>
      </c>
      <c r="Y7" s="26">
        <v>69</v>
      </c>
      <c r="Z7" s="26">
        <v>52</v>
      </c>
      <c r="AA7" s="27">
        <f>+W7/W$58*0.25</f>
        <v>1.5336072329640257E-4</v>
      </c>
      <c r="AB7" s="27">
        <f t="shared" ref="AB7:AD57" si="5">+X7/X$58*0.25</f>
        <v>1.7408044564594084E-4</v>
      </c>
      <c r="AC7" s="27">
        <f t="shared" si="5"/>
        <v>1.4011176451476657E-4</v>
      </c>
      <c r="AD7" s="27">
        <f t="shared" si="5"/>
        <v>9.4710767885764239E-4</v>
      </c>
      <c r="AE7" s="18">
        <f>SUM(AA7:AD7)</f>
        <v>1.4146606123147524E-3</v>
      </c>
      <c r="AF7" s="28">
        <f t="shared" ref="AF7:AF57" si="6">+AE7*AF$4</f>
        <v>1.2024615204675394E-3</v>
      </c>
      <c r="AG7" s="18">
        <f t="shared" ref="AG7:AG57" si="7">+(AE7-V7)/V7</f>
        <v>0.415854225549666</v>
      </c>
      <c r="AH7" s="18">
        <f t="shared" ref="AH7:AH57" si="8">IF(AG7&gt;0,0,AG7)</f>
        <v>0</v>
      </c>
      <c r="AI7" s="19">
        <f>+AH7/AH$58</f>
        <v>0</v>
      </c>
      <c r="AJ7" s="19">
        <f t="shared" ref="AJ7:AJ57" si="9">+AI7*AJ$4</f>
        <v>0</v>
      </c>
      <c r="AK7" s="83">
        <f t="shared" ref="AK7:AK57" si="10">+AJ7+AF7</f>
        <v>1.2024615204675394E-3</v>
      </c>
      <c r="AM7" s="31">
        <f t="shared" ref="AM7:AM57" si="11">+F7*AM$5</f>
        <v>42754.593088246205</v>
      </c>
      <c r="AN7" s="32">
        <f t="shared" ref="AN7:AN57" si="12">+M7*AN$5</f>
        <v>880548.31211396691</v>
      </c>
      <c r="AO7" s="32">
        <f t="shared" ref="AO7:AO57" si="13">+AK7*AO$5</f>
        <v>1706040.1045389753</v>
      </c>
      <c r="AP7" s="32">
        <f>SUM(AM7:AO7)</f>
        <v>2629343.0097411885</v>
      </c>
      <c r="AQ7" s="33">
        <f>+AP7/AP$58</f>
        <v>4.6330736670731289E-4</v>
      </c>
    </row>
    <row r="8" spans="1:43" ht="14.25" x14ac:dyDescent="0.2">
      <c r="A8" s="2" t="s">
        <v>2</v>
      </c>
      <c r="B8" s="36">
        <v>2452853</v>
      </c>
      <c r="C8" s="36">
        <v>747936</v>
      </c>
      <c r="D8" s="45">
        <f t="shared" si="0"/>
        <v>0.30492491804441602</v>
      </c>
      <c r="E8" s="46">
        <f t="shared" ref="E8:E57" si="14">+D8*C8</f>
        <v>228064.32350246832</v>
      </c>
      <c r="F8" s="84">
        <f t="shared" si="1"/>
        <v>2.0058881222016347E-4</v>
      </c>
      <c r="G8" s="160">
        <v>3443</v>
      </c>
      <c r="H8" s="81">
        <f t="shared" si="2"/>
        <v>7.3987989146995627E-4</v>
      </c>
      <c r="I8" s="35">
        <f t="shared" ref="I8:I57" si="15">+H8*I$4</f>
        <v>6.2889790774946284E-4</v>
      </c>
      <c r="J8" s="36">
        <v>978.99</v>
      </c>
      <c r="K8" s="78">
        <f t="shared" si="3"/>
        <v>1.524428317970032E-2</v>
      </c>
      <c r="L8" s="37">
        <f t="shared" ref="L8:L57" si="16">+K8*L$4</f>
        <v>2.2866424769550477E-3</v>
      </c>
      <c r="M8" s="84">
        <f t="shared" ref="M8:M57" si="17">+L8+I8</f>
        <v>2.9155403847045108E-3</v>
      </c>
      <c r="N8" s="38">
        <v>768</v>
      </c>
      <c r="O8" s="39">
        <v>191</v>
      </c>
      <c r="P8" s="39">
        <v>961</v>
      </c>
      <c r="Q8" s="39">
        <v>102</v>
      </c>
      <c r="R8" s="40">
        <f t="shared" ref="R8:U57" si="18">+N8/N$58*0.25</f>
        <v>4.4911125093857236E-4</v>
      </c>
      <c r="S8" s="40">
        <f t="shared" si="4"/>
        <v>5.4284187669815717E-4</v>
      </c>
      <c r="T8" s="40">
        <f t="shared" si="4"/>
        <v>7.1910038371974692E-4</v>
      </c>
      <c r="U8" s="40">
        <f t="shared" si="4"/>
        <v>6.514574764325678E-4</v>
      </c>
      <c r="V8" s="41">
        <f t="shared" ref="V8:V57" si="19">SUM(R8:U8)</f>
        <v>2.3625109877890441E-3</v>
      </c>
      <c r="W8" s="42">
        <v>468.99999999269994</v>
      </c>
      <c r="X8" s="42">
        <v>120</v>
      </c>
      <c r="Y8" s="42">
        <v>175</v>
      </c>
      <c r="Z8" s="42">
        <v>44</v>
      </c>
      <c r="AA8" s="43">
        <f t="shared" ref="AA8:AA57" si="20">+W8/W$58*0.25</f>
        <v>3.6885220115889019E-4</v>
      </c>
      <c r="AB8" s="43">
        <f t="shared" si="5"/>
        <v>4.0960104857868437E-4</v>
      </c>
      <c r="AC8" s="43">
        <f t="shared" si="5"/>
        <v>3.5535592449397314E-4</v>
      </c>
      <c r="AD8" s="43">
        <f t="shared" si="5"/>
        <v>8.0139880518723594E-4</v>
      </c>
      <c r="AE8" s="34">
        <f t="shared" ref="AE8:AE57" si="21">SUM(AA8:AD8)</f>
        <v>1.9352079794187835E-3</v>
      </c>
      <c r="AF8" s="44">
        <f t="shared" si="6"/>
        <v>1.644926782505966E-3</v>
      </c>
      <c r="AG8" s="34">
        <f t="shared" si="7"/>
        <v>-0.1808681570493571</v>
      </c>
      <c r="AH8" s="34">
        <f t="shared" si="8"/>
        <v>-0.1808681570493571</v>
      </c>
      <c r="AI8" s="35">
        <f t="shared" ref="AI8:AI57" si="22">+AH8/AH$58</f>
        <v>3.3703048799913031E-2</v>
      </c>
      <c r="AJ8" s="35">
        <f t="shared" si="9"/>
        <v>5.0554573199869546E-3</v>
      </c>
      <c r="AK8" s="84">
        <f t="shared" si="10"/>
        <v>6.7003841024929206E-3</v>
      </c>
      <c r="AM8" s="47">
        <f t="shared" si="11"/>
        <v>569186.70966930897</v>
      </c>
      <c r="AN8" s="48">
        <f t="shared" si="12"/>
        <v>4136538.8730068407</v>
      </c>
      <c r="AO8" s="48">
        <f t="shared" si="13"/>
        <v>9506436.4223677423</v>
      </c>
      <c r="AP8" s="48">
        <f t="shared" ref="AP8:AP57" si="23">SUM(AM8:AO8)</f>
        <v>14212162.005043892</v>
      </c>
      <c r="AQ8" s="49">
        <f t="shared" ref="AQ8:AQ57" si="24">+AP8/AP$58</f>
        <v>2.5042755279094399E-3</v>
      </c>
    </row>
    <row r="9" spans="1:43" ht="14.25" x14ac:dyDescent="0.2">
      <c r="A9" s="2" t="s">
        <v>3</v>
      </c>
      <c r="B9" s="36">
        <v>885299</v>
      </c>
      <c r="C9" s="36">
        <v>261118</v>
      </c>
      <c r="D9" s="45">
        <f t="shared" si="0"/>
        <v>0.29494893815535767</v>
      </c>
      <c r="E9" s="46">
        <f t="shared" si="14"/>
        <v>77016.476833250679</v>
      </c>
      <c r="F9" s="84">
        <f t="shared" si="1"/>
        <v>6.7738098498322516E-5</v>
      </c>
      <c r="G9" s="160">
        <v>1374</v>
      </c>
      <c r="H9" s="81">
        <f t="shared" si="2"/>
        <v>2.9526429592788847E-4</v>
      </c>
      <c r="I9" s="35">
        <f t="shared" si="15"/>
        <v>2.509746515387052E-4</v>
      </c>
      <c r="J9" s="36">
        <v>696.75</v>
      </c>
      <c r="K9" s="78">
        <f t="shared" si="3"/>
        <v>1.0849400203736705E-2</v>
      </c>
      <c r="L9" s="37">
        <f t="shared" si="16"/>
        <v>1.6274100305605057E-3</v>
      </c>
      <c r="M9" s="84">
        <f t="shared" si="17"/>
        <v>1.8783846820992108E-3</v>
      </c>
      <c r="N9" s="38">
        <v>363</v>
      </c>
      <c r="O9" s="39">
        <v>91</v>
      </c>
      <c r="P9" s="39">
        <v>728</v>
      </c>
      <c r="Q9" s="39">
        <v>81</v>
      </c>
      <c r="R9" s="40">
        <f t="shared" si="18"/>
        <v>2.1227523970143459E-4</v>
      </c>
      <c r="S9" s="40">
        <f t="shared" si="4"/>
        <v>2.5863147004990736E-4</v>
      </c>
      <c r="T9" s="40">
        <f t="shared" si="4"/>
        <v>5.4475034271381456E-4</v>
      </c>
      <c r="U9" s="40">
        <f t="shared" si="4"/>
        <v>5.1733387834350972E-4</v>
      </c>
      <c r="V9" s="41">
        <f t="shared" si="19"/>
        <v>1.5329909308086662E-3</v>
      </c>
      <c r="W9" s="42">
        <v>209.00000000199</v>
      </c>
      <c r="X9" s="42">
        <v>60</v>
      </c>
      <c r="Y9" s="42">
        <v>193</v>
      </c>
      <c r="Z9" s="42">
        <v>19</v>
      </c>
      <c r="AA9" s="43">
        <f t="shared" si="20"/>
        <v>1.6437123676789337E-4</v>
      </c>
      <c r="AB9" s="43">
        <f t="shared" si="5"/>
        <v>2.0480052428934218E-4</v>
      </c>
      <c r="AC9" s="43">
        <f t="shared" si="5"/>
        <v>3.9190681958478185E-4</v>
      </c>
      <c r="AD9" s="43">
        <f t="shared" si="5"/>
        <v>3.4605857496721549E-4</v>
      </c>
      <c r="AE9" s="34">
        <f t="shared" si="21"/>
        <v>1.107137155609233E-3</v>
      </c>
      <c r="AF9" s="44">
        <f t="shared" si="6"/>
        <v>9.4106658226784804E-4</v>
      </c>
      <c r="AG9" s="34">
        <f t="shared" si="7"/>
        <v>-0.27779275574369616</v>
      </c>
      <c r="AH9" s="34">
        <f t="shared" si="8"/>
        <v>-0.27779275574369616</v>
      </c>
      <c r="AI9" s="35">
        <f t="shared" si="22"/>
        <v>5.1764019470476444E-2</v>
      </c>
      <c r="AJ9" s="35">
        <f t="shared" si="9"/>
        <v>7.7646029205714661E-3</v>
      </c>
      <c r="AK9" s="84">
        <f t="shared" si="10"/>
        <v>8.7056695028393145E-3</v>
      </c>
      <c r="AM9" s="47">
        <f t="shared" si="11"/>
        <v>192212.24243153518</v>
      </c>
      <c r="AN9" s="48">
        <f t="shared" si="12"/>
        <v>2665032.9718384165</v>
      </c>
      <c r="AO9" s="48">
        <f t="shared" si="13"/>
        <v>12351514.835111674</v>
      </c>
      <c r="AP9" s="48">
        <f t="shared" si="23"/>
        <v>15208760.049381625</v>
      </c>
      <c r="AQ9" s="49">
        <f t="shared" si="24"/>
        <v>2.6798825954837927E-3</v>
      </c>
    </row>
    <row r="10" spans="1:43" ht="13.5" customHeight="1" x14ac:dyDescent="0.2">
      <c r="A10" s="2" t="s">
        <v>4</v>
      </c>
      <c r="B10" s="36">
        <v>29940299</v>
      </c>
      <c r="C10" s="36">
        <v>10413921</v>
      </c>
      <c r="D10" s="45">
        <f t="shared" si="0"/>
        <v>0.34782287912355186</v>
      </c>
      <c r="E10" s="46">
        <f t="shared" si="14"/>
        <v>3622199.9851852185</v>
      </c>
      <c r="F10" s="84">
        <f t="shared" si="1"/>
        <v>3.1858239881361059E-3</v>
      </c>
      <c r="G10" s="160">
        <v>32593</v>
      </c>
      <c r="H10" s="81">
        <f t="shared" si="2"/>
        <v>7.0040387170143149E-3</v>
      </c>
      <c r="I10" s="35">
        <f t="shared" si="15"/>
        <v>5.9534329094621677E-3</v>
      </c>
      <c r="J10" s="36">
        <v>190.52</v>
      </c>
      <c r="K10" s="78">
        <f t="shared" si="3"/>
        <v>2.9666705802883636E-3</v>
      </c>
      <c r="L10" s="37">
        <f t="shared" si="16"/>
        <v>4.4500058704325453E-4</v>
      </c>
      <c r="M10" s="84">
        <f t="shared" si="17"/>
        <v>6.3984334965054221E-3</v>
      </c>
      <c r="N10" s="38">
        <v>3420</v>
      </c>
      <c r="O10" s="39">
        <v>773</v>
      </c>
      <c r="P10" s="39">
        <v>6993</v>
      </c>
      <c r="Q10" s="39">
        <v>216</v>
      </c>
      <c r="R10" s="40">
        <f t="shared" si="18"/>
        <v>1.99994853933583E-3</v>
      </c>
      <c r="S10" s="40">
        <f t="shared" si="4"/>
        <v>2.196946443390971E-3</v>
      </c>
      <c r="T10" s="40">
        <f t="shared" si="4"/>
        <v>5.2327460804913531E-3</v>
      </c>
      <c r="U10" s="40">
        <f t="shared" si="4"/>
        <v>1.3795570089160259E-3</v>
      </c>
      <c r="V10" s="41">
        <f t="shared" si="19"/>
        <v>1.080919807213418E-2</v>
      </c>
      <c r="W10" s="42">
        <v>2055.0000000045479</v>
      </c>
      <c r="X10" s="42">
        <v>629</v>
      </c>
      <c r="Y10" s="42">
        <v>1238</v>
      </c>
      <c r="Z10" s="42">
        <v>59</v>
      </c>
      <c r="AA10" s="43">
        <f t="shared" si="20"/>
        <v>1.6161860839978574E-3</v>
      </c>
      <c r="AB10" s="43">
        <f t="shared" si="5"/>
        <v>2.1469921629666037E-3</v>
      </c>
      <c r="AC10" s="43">
        <f t="shared" si="5"/>
        <v>2.5138893401345074E-3</v>
      </c>
      <c r="AD10" s="43">
        <f t="shared" si="5"/>
        <v>1.074602943319248E-3</v>
      </c>
      <c r="AE10" s="34">
        <f t="shared" si="21"/>
        <v>7.3516705304182165E-3</v>
      </c>
      <c r="AF10" s="44">
        <f t="shared" si="6"/>
        <v>6.2489199508554841E-3</v>
      </c>
      <c r="AG10" s="34">
        <f t="shared" si="7"/>
        <v>-0.31986901513345156</v>
      </c>
      <c r="AH10" s="34">
        <f t="shared" si="8"/>
        <v>-0.31986901513345156</v>
      </c>
      <c r="AI10" s="35">
        <f t="shared" si="22"/>
        <v>5.9604527422043294E-2</v>
      </c>
      <c r="AJ10" s="35">
        <f t="shared" si="9"/>
        <v>8.9406791133064944E-3</v>
      </c>
      <c r="AK10" s="84">
        <f t="shared" si="10"/>
        <v>1.5189599064161979E-2</v>
      </c>
      <c r="AM10" s="47">
        <f t="shared" si="11"/>
        <v>9040028.9693248775</v>
      </c>
      <c r="AN10" s="48">
        <f t="shared" si="12"/>
        <v>9078031.9914265983</v>
      </c>
      <c r="AO10" s="48">
        <f t="shared" si="13"/>
        <v>21550847.768710431</v>
      </c>
      <c r="AP10" s="48">
        <f t="shared" si="23"/>
        <v>39668908.729461908</v>
      </c>
      <c r="AQ10" s="49">
        <f t="shared" si="24"/>
        <v>6.9899201342349037E-3</v>
      </c>
    </row>
    <row r="11" spans="1:43" ht="14.25" x14ac:dyDescent="0.2">
      <c r="A11" s="2" t="s">
        <v>5</v>
      </c>
      <c r="B11" s="36">
        <v>10019260</v>
      </c>
      <c r="C11" s="36">
        <v>2220524</v>
      </c>
      <c r="D11" s="45">
        <f t="shared" si="0"/>
        <v>0.22162554919225572</v>
      </c>
      <c r="E11" s="46">
        <f t="shared" si="14"/>
        <v>492124.85099458444</v>
      </c>
      <c r="F11" s="84">
        <f t="shared" si="1"/>
        <v>4.3283727068324317E-4</v>
      </c>
      <c r="G11" s="160">
        <v>18480</v>
      </c>
      <c r="H11" s="81">
        <f t="shared" si="2"/>
        <v>3.9712403120432159E-3</v>
      </c>
      <c r="I11" s="35">
        <f t="shared" si="15"/>
        <v>3.3755542652367334E-3</v>
      </c>
      <c r="J11" s="36">
        <v>4572.87</v>
      </c>
      <c r="K11" s="78">
        <f t="shared" si="3"/>
        <v>7.1206166788175776E-2</v>
      </c>
      <c r="L11" s="37">
        <f t="shared" si="16"/>
        <v>1.0680925018226366E-2</v>
      </c>
      <c r="M11" s="84">
        <f t="shared" si="17"/>
        <v>1.4056479283463099E-2</v>
      </c>
      <c r="N11" s="38">
        <v>3207</v>
      </c>
      <c r="O11" s="39">
        <v>706</v>
      </c>
      <c r="P11" s="39">
        <v>5696</v>
      </c>
      <c r="Q11" s="39">
        <v>1464</v>
      </c>
      <c r="R11" s="40">
        <f t="shared" si="18"/>
        <v>1.8753903408333353E-3</v>
      </c>
      <c r="S11" s="40">
        <f t="shared" si="4"/>
        <v>2.0065254709366437E-3</v>
      </c>
      <c r="T11" s="40">
        <f t="shared" si="4"/>
        <v>4.2622224616729225E-3</v>
      </c>
      <c r="U11" s="40">
        <f t="shared" si="4"/>
        <v>9.3503308382086193E-3</v>
      </c>
      <c r="V11" s="41">
        <f t="shared" si="19"/>
        <v>1.749446911165152E-2</v>
      </c>
      <c r="W11" s="42">
        <v>2802.0000000077798</v>
      </c>
      <c r="X11" s="42">
        <v>510</v>
      </c>
      <c r="Y11" s="42">
        <v>1865</v>
      </c>
      <c r="Z11" s="42">
        <v>534</v>
      </c>
      <c r="AA11" s="43">
        <f t="shared" si="20"/>
        <v>2.2036756240216781E-3</v>
      </c>
      <c r="AB11" s="43">
        <f t="shared" si="5"/>
        <v>1.7408044564594086E-3</v>
      </c>
      <c r="AC11" s="43">
        <f t="shared" si="5"/>
        <v>3.7870788524643428E-3</v>
      </c>
      <c r="AD11" s="43">
        <f t="shared" si="5"/>
        <v>9.7260673174996357E-3</v>
      </c>
      <c r="AE11" s="34">
        <f t="shared" si="21"/>
        <v>1.7457626250445064E-2</v>
      </c>
      <c r="AF11" s="44">
        <f t="shared" si="6"/>
        <v>1.4838982312878304E-2</v>
      </c>
      <c r="AG11" s="34">
        <f t="shared" si="7"/>
        <v>-2.1059719486953626E-3</v>
      </c>
      <c r="AH11" s="34">
        <f t="shared" si="8"/>
        <v>-2.1059719486953626E-3</v>
      </c>
      <c r="AI11" s="35">
        <f t="shared" si="22"/>
        <v>3.9242770267603632E-4</v>
      </c>
      <c r="AJ11" s="35">
        <f t="shared" si="9"/>
        <v>5.8864155401405446E-5</v>
      </c>
      <c r="AK11" s="84">
        <f t="shared" si="10"/>
        <v>1.4897846468279709E-2</v>
      </c>
      <c r="AM11" s="47">
        <f t="shared" si="11"/>
        <v>1228210.1837864826</v>
      </c>
      <c r="AN11" s="48">
        <f t="shared" si="12"/>
        <v>19943189.015216969</v>
      </c>
      <c r="AO11" s="48">
        <f t="shared" si="13"/>
        <v>21136912.170185022</v>
      </c>
      <c r="AP11" s="48">
        <f t="shared" si="23"/>
        <v>42308311.369188473</v>
      </c>
      <c r="AQ11" s="49">
        <f t="shared" si="24"/>
        <v>7.4550000732773241E-3</v>
      </c>
    </row>
    <row r="12" spans="1:43" ht="14.25" x14ac:dyDescent="0.2">
      <c r="A12" s="2" t="s">
        <v>6</v>
      </c>
      <c r="B12" s="36">
        <v>323470933</v>
      </c>
      <c r="C12" s="36">
        <v>141732262.94999999</v>
      </c>
      <c r="D12" s="45">
        <f t="shared" si="0"/>
        <v>0.43816073869611027</v>
      </c>
      <c r="E12" s="46">
        <f t="shared" si="14"/>
        <v>62101513.031243339</v>
      </c>
      <c r="F12" s="84">
        <f t="shared" si="1"/>
        <v>5.4619979770212879E-2</v>
      </c>
      <c r="G12" s="160">
        <v>523370</v>
      </c>
      <c r="H12" s="81">
        <f t="shared" si="2"/>
        <v>0.11246904989794686</v>
      </c>
      <c r="I12" s="35">
        <f t="shared" si="15"/>
        <v>9.5598692413254832E-2</v>
      </c>
      <c r="J12" s="36">
        <v>238.03</v>
      </c>
      <c r="K12" s="78">
        <f t="shared" si="3"/>
        <v>3.7064696526665922E-3</v>
      </c>
      <c r="L12" s="37">
        <f t="shared" si="16"/>
        <v>5.5597044789998883E-4</v>
      </c>
      <c r="M12" s="84">
        <f t="shared" si="17"/>
        <v>9.6154662861154816E-2</v>
      </c>
      <c r="N12" s="38">
        <v>27572</v>
      </c>
      <c r="O12" s="39">
        <v>4134</v>
      </c>
      <c r="P12" s="39">
        <v>4960</v>
      </c>
      <c r="Q12" s="39">
        <v>1244</v>
      </c>
      <c r="R12" s="40">
        <f t="shared" si="18"/>
        <v>1.6123561732914474E-2</v>
      </c>
      <c r="S12" s="40">
        <f t="shared" si="4"/>
        <v>1.1749258210838649E-2</v>
      </c>
      <c r="T12" s="40">
        <f t="shared" si="4"/>
        <v>3.711485851456758E-3</v>
      </c>
      <c r="U12" s="40">
        <f t="shared" si="4"/>
        <v>7.9452264772756302E-3</v>
      </c>
      <c r="V12" s="41">
        <f t="shared" si="19"/>
        <v>3.9529532272485512E-2</v>
      </c>
      <c r="W12" s="42">
        <v>34239.000000084088</v>
      </c>
      <c r="X12" s="42">
        <v>3826</v>
      </c>
      <c r="Y12" s="42">
        <v>1071</v>
      </c>
      <c r="Z12" s="42">
        <v>267</v>
      </c>
      <c r="AA12" s="43">
        <f t="shared" si="20"/>
        <v>2.6927783615579601E-2</v>
      </c>
      <c r="AB12" s="43">
        <f t="shared" si="5"/>
        <v>1.3059446765517053E-2</v>
      </c>
      <c r="AC12" s="43">
        <f t="shared" si="5"/>
        <v>2.1747782579031156E-3</v>
      </c>
      <c r="AD12" s="43">
        <f t="shared" si="5"/>
        <v>4.8630336587498178E-3</v>
      </c>
      <c r="AE12" s="34">
        <f t="shared" si="21"/>
        <v>4.7025042297749592E-2</v>
      </c>
      <c r="AF12" s="44">
        <f t="shared" si="6"/>
        <v>3.9971285953087153E-2</v>
      </c>
      <c r="AG12" s="34">
        <f t="shared" si="7"/>
        <v>0.18961797912497236</v>
      </c>
      <c r="AH12" s="34">
        <f t="shared" si="8"/>
        <v>0</v>
      </c>
      <c r="AI12" s="35">
        <f t="shared" si="22"/>
        <v>0</v>
      </c>
      <c r="AJ12" s="35">
        <f t="shared" si="9"/>
        <v>0</v>
      </c>
      <c r="AK12" s="84">
        <f t="shared" si="10"/>
        <v>3.9971285953087153E-2</v>
      </c>
      <c r="AM12" s="47">
        <f t="shared" si="11"/>
        <v>154988537.11486596</v>
      </c>
      <c r="AN12" s="48">
        <f t="shared" si="12"/>
        <v>136423252.04366726</v>
      </c>
      <c r="AO12" s="48">
        <f t="shared" si="13"/>
        <v>56710851.619973272</v>
      </c>
      <c r="AP12" s="48">
        <f t="shared" si="23"/>
        <v>348122640.77850652</v>
      </c>
      <c r="AQ12" s="49">
        <f t="shared" si="24"/>
        <v>6.1341477088666933E-2</v>
      </c>
    </row>
    <row r="13" spans="1:43" ht="14.25" x14ac:dyDescent="0.2">
      <c r="A13" s="2" t="s">
        <v>7</v>
      </c>
      <c r="B13" s="36">
        <v>1153497</v>
      </c>
      <c r="C13" s="36">
        <v>457946</v>
      </c>
      <c r="D13" s="45">
        <f t="shared" si="0"/>
        <v>0.39700666755093422</v>
      </c>
      <c r="E13" s="46">
        <f t="shared" si="14"/>
        <v>181807.61537828011</v>
      </c>
      <c r="F13" s="84">
        <f t="shared" si="1"/>
        <v>1.5990477186983101E-4</v>
      </c>
      <c r="G13" s="160">
        <v>15470</v>
      </c>
      <c r="H13" s="81">
        <f t="shared" si="2"/>
        <v>3.3244095036422377E-3</v>
      </c>
      <c r="I13" s="35">
        <f t="shared" si="15"/>
        <v>2.825748078095902E-3</v>
      </c>
      <c r="J13" s="36">
        <v>2664.8</v>
      </c>
      <c r="K13" s="78">
        <f t="shared" si="3"/>
        <v>4.149477095503061E-2</v>
      </c>
      <c r="L13" s="37">
        <f t="shared" si="16"/>
        <v>6.224215643254591E-3</v>
      </c>
      <c r="M13" s="84">
        <f t="shared" si="17"/>
        <v>9.0499637213504926E-3</v>
      </c>
      <c r="N13" s="38">
        <v>3888</v>
      </c>
      <c r="O13" s="39">
        <v>1372</v>
      </c>
      <c r="P13" s="39">
        <v>11340</v>
      </c>
      <c r="Q13" s="39">
        <v>3122</v>
      </c>
      <c r="R13" s="40">
        <f t="shared" si="18"/>
        <v>2.2736257078765226E-3</v>
      </c>
      <c r="S13" s="40">
        <f t="shared" si="4"/>
        <v>3.8993667792139876E-3</v>
      </c>
      <c r="T13" s="40">
        <f t="shared" si="4"/>
        <v>8.4855341845805725E-3</v>
      </c>
      <c r="U13" s="40">
        <f t="shared" si="4"/>
        <v>1.9939708249239966E-2</v>
      </c>
      <c r="V13" s="41">
        <f t="shared" si="19"/>
        <v>3.4598234920911047E-2</v>
      </c>
      <c r="W13" s="42">
        <v>3560.0000000065597</v>
      </c>
      <c r="X13" s="42">
        <v>1140</v>
      </c>
      <c r="Y13" s="42">
        <v>7405</v>
      </c>
      <c r="Z13" s="42">
        <v>920</v>
      </c>
      <c r="AA13" s="43">
        <f t="shared" si="20"/>
        <v>2.7998162817665408E-3</v>
      </c>
      <c r="AB13" s="43">
        <f t="shared" si="5"/>
        <v>3.8912099614975015E-3</v>
      </c>
      <c r="AC13" s="43">
        <f t="shared" si="5"/>
        <v>1.5036632119302121E-2</v>
      </c>
      <c r="AD13" s="43">
        <f t="shared" si="5"/>
        <v>1.6756520472096751E-2</v>
      </c>
      <c r="AE13" s="34">
        <f t="shared" si="21"/>
        <v>3.8484178834662916E-2</v>
      </c>
      <c r="AF13" s="44">
        <f t="shared" si="6"/>
        <v>3.2711552009463477E-2</v>
      </c>
      <c r="AG13" s="34">
        <f t="shared" si="7"/>
        <v>0.11231624742229894</v>
      </c>
      <c r="AH13" s="34">
        <f t="shared" si="8"/>
        <v>0</v>
      </c>
      <c r="AI13" s="35">
        <f t="shared" si="22"/>
        <v>0</v>
      </c>
      <c r="AJ13" s="35">
        <f t="shared" si="9"/>
        <v>0</v>
      </c>
      <c r="AK13" s="84">
        <f t="shared" si="10"/>
        <v>3.2711552009463477E-2</v>
      </c>
      <c r="AM13" s="47">
        <f t="shared" si="11"/>
        <v>453742.50913412386</v>
      </c>
      <c r="AN13" s="48">
        <f t="shared" si="12"/>
        <v>12839995.950343195</v>
      </c>
      <c r="AO13" s="48">
        <f t="shared" si="13"/>
        <v>46410815.364934348</v>
      </c>
      <c r="AP13" s="48">
        <f t="shared" si="23"/>
        <v>59704553.824411668</v>
      </c>
      <c r="AQ13" s="49">
        <f t="shared" si="24"/>
        <v>1.0520331318638408E-2</v>
      </c>
    </row>
    <row r="14" spans="1:43" ht="14.25" x14ac:dyDescent="0.2">
      <c r="A14" s="2" t="s">
        <v>8</v>
      </c>
      <c r="B14" s="36">
        <v>2451486</v>
      </c>
      <c r="C14" s="36">
        <v>617377</v>
      </c>
      <c r="D14" s="45">
        <f t="shared" si="0"/>
        <v>0.25183786487053161</v>
      </c>
      <c r="E14" s="46">
        <f t="shared" si="14"/>
        <v>155478.90550017421</v>
      </c>
      <c r="F14" s="84">
        <f t="shared" si="1"/>
        <v>1.3674795119471392E-4</v>
      </c>
      <c r="G14" s="160">
        <v>3773</v>
      </c>
      <c r="H14" s="81">
        <f t="shared" si="2"/>
        <v>8.1079489704215658E-4</v>
      </c>
      <c r="I14" s="35">
        <f t="shared" si="15"/>
        <v>6.8917566248583311E-4</v>
      </c>
      <c r="J14" s="36">
        <v>465.62</v>
      </c>
      <c r="K14" s="78">
        <f t="shared" si="3"/>
        <v>7.2503734809671837E-3</v>
      </c>
      <c r="L14" s="37">
        <f t="shared" si="16"/>
        <v>1.0875560221450776E-3</v>
      </c>
      <c r="M14" s="84">
        <f t="shared" si="17"/>
        <v>1.7767316846309107E-3</v>
      </c>
      <c r="N14" s="38">
        <v>739</v>
      </c>
      <c r="O14" s="39">
        <v>153</v>
      </c>
      <c r="P14" s="39">
        <v>789</v>
      </c>
      <c r="Q14" s="39">
        <v>57</v>
      </c>
      <c r="R14" s="40">
        <f t="shared" si="18"/>
        <v>4.3215262297344398E-4</v>
      </c>
      <c r="S14" s="40">
        <f t="shared" si="4"/>
        <v>4.3484192217182224E-4</v>
      </c>
      <c r="T14" s="40">
        <f t="shared" si="4"/>
        <v>5.9039563241923033E-4</v>
      </c>
      <c r="U14" s="40">
        <f t="shared" si="4"/>
        <v>3.6404976624172905E-4</v>
      </c>
      <c r="V14" s="41">
        <f t="shared" si="19"/>
        <v>1.8214399438062257E-3</v>
      </c>
      <c r="W14" s="42">
        <v>518.99999999744</v>
      </c>
      <c r="X14" s="42">
        <v>104</v>
      </c>
      <c r="Y14" s="42">
        <v>89</v>
      </c>
      <c r="Z14" s="42">
        <v>41</v>
      </c>
      <c r="AA14" s="43">
        <f t="shared" si="20"/>
        <v>4.0817546354690717E-4</v>
      </c>
      <c r="AB14" s="43">
        <f t="shared" si="5"/>
        <v>3.5498757543485978E-4</v>
      </c>
      <c r="AC14" s="43">
        <f t="shared" si="5"/>
        <v>1.8072387017122063E-4</v>
      </c>
      <c r="AD14" s="43">
        <f t="shared" si="5"/>
        <v>7.4675797756083341E-4</v>
      </c>
      <c r="AE14" s="34">
        <f t="shared" si="21"/>
        <v>1.6906448867138209E-3</v>
      </c>
      <c r="AF14" s="44">
        <f t="shared" si="6"/>
        <v>1.4370481537067476E-3</v>
      </c>
      <c r="AG14" s="34">
        <f t="shared" si="7"/>
        <v>-7.1808602604313709E-2</v>
      </c>
      <c r="AH14" s="34">
        <f t="shared" si="8"/>
        <v>-7.1808602604313709E-2</v>
      </c>
      <c r="AI14" s="35">
        <f t="shared" si="22"/>
        <v>1.3380845347842557E-2</v>
      </c>
      <c r="AJ14" s="35">
        <f t="shared" si="9"/>
        <v>2.0071268021763836E-3</v>
      </c>
      <c r="AK14" s="84">
        <f t="shared" si="10"/>
        <v>3.4441749558831313E-3</v>
      </c>
      <c r="AM14" s="47">
        <f t="shared" si="11"/>
        <v>388033.18855643715</v>
      </c>
      <c r="AN14" s="48">
        <f t="shared" si="12"/>
        <v>2520808.738899895</v>
      </c>
      <c r="AO14" s="48">
        <f t="shared" si="13"/>
        <v>4886560.1948748585</v>
      </c>
      <c r="AP14" s="48">
        <f t="shared" si="23"/>
        <v>7795402.1223311909</v>
      </c>
      <c r="AQ14" s="49">
        <f t="shared" si="24"/>
        <v>1.3736006357258676E-3</v>
      </c>
    </row>
    <row r="15" spans="1:43" ht="14.25" x14ac:dyDescent="0.2">
      <c r="A15" s="2" t="s">
        <v>9</v>
      </c>
      <c r="B15" s="36">
        <v>55173019</v>
      </c>
      <c r="C15" s="36">
        <v>22057207.130000003</v>
      </c>
      <c r="D15" s="45">
        <f t="shared" si="0"/>
        <v>0.39978249386715636</v>
      </c>
      <c r="E15" s="46">
        <f t="shared" si="14"/>
        <v>8818085.2741758246</v>
      </c>
      <c r="F15" s="84">
        <f t="shared" si="1"/>
        <v>7.755747256031913E-3</v>
      </c>
      <c r="G15" s="160">
        <v>86445</v>
      </c>
      <c r="H15" s="81">
        <f t="shared" si="2"/>
        <v>1.8576508050572284E-2</v>
      </c>
      <c r="I15" s="35">
        <f t="shared" si="15"/>
        <v>1.5790031842986441E-2</v>
      </c>
      <c r="J15" s="36">
        <v>1140.97</v>
      </c>
      <c r="K15" s="78">
        <f t="shared" si="3"/>
        <v>1.7766544887631817E-2</v>
      </c>
      <c r="L15" s="37">
        <f t="shared" si="16"/>
        <v>2.6649817331447726E-3</v>
      </c>
      <c r="M15" s="84">
        <f t="shared" si="17"/>
        <v>1.8455013576131211E-2</v>
      </c>
      <c r="N15" s="38">
        <v>6662</v>
      </c>
      <c r="O15" s="39">
        <v>2055</v>
      </c>
      <c r="P15" s="39">
        <v>14558</v>
      </c>
      <c r="Q15" s="39">
        <v>683</v>
      </c>
      <c r="R15" s="40">
        <f t="shared" si="18"/>
        <v>3.895806189782251E-3</v>
      </c>
      <c r="S15" s="40">
        <f t="shared" si="4"/>
        <v>5.8405238566215344E-3</v>
      </c>
      <c r="T15" s="40">
        <f t="shared" si="4"/>
        <v>1.0893510287400703E-2</v>
      </c>
      <c r="U15" s="40">
        <f t="shared" si="4"/>
        <v>4.3622103568965081E-3</v>
      </c>
      <c r="V15" s="41">
        <f t="shared" si="19"/>
        <v>2.4992050690700995E-2</v>
      </c>
      <c r="W15" s="42">
        <v>5056.9999999440479</v>
      </c>
      <c r="X15" s="42">
        <v>1587</v>
      </c>
      <c r="Y15" s="42">
        <v>3489</v>
      </c>
      <c r="Z15" s="42">
        <v>461</v>
      </c>
      <c r="AA15" s="43">
        <f t="shared" si="20"/>
        <v>3.9771547575029919E-3</v>
      </c>
      <c r="AB15" s="43">
        <f t="shared" si="5"/>
        <v>5.4169738674531009E-3</v>
      </c>
      <c r="AC15" s="43">
        <f t="shared" si="5"/>
        <v>7.0847818317684138E-3</v>
      </c>
      <c r="AD15" s="43">
        <f t="shared" si="5"/>
        <v>8.3964738452571765E-3</v>
      </c>
      <c r="AE15" s="34">
        <f t="shared" si="21"/>
        <v>2.4875384301981683E-2</v>
      </c>
      <c r="AF15" s="44">
        <f t="shared" si="6"/>
        <v>2.114407665668443E-2</v>
      </c>
      <c r="AG15" s="34">
        <f t="shared" si="7"/>
        <v>-4.6681398882853836E-3</v>
      </c>
      <c r="AH15" s="34">
        <f t="shared" si="8"/>
        <v>-4.6681398882853836E-3</v>
      </c>
      <c r="AI15" s="35">
        <f t="shared" si="22"/>
        <v>8.6986315903450563E-4</v>
      </c>
      <c r="AJ15" s="35">
        <f t="shared" si="9"/>
        <v>1.3047947385517585E-4</v>
      </c>
      <c r="AK15" s="84">
        <f t="shared" si="10"/>
        <v>2.1274556130539607E-2</v>
      </c>
      <c r="AM15" s="47">
        <f t="shared" si="11"/>
        <v>22007549.737331897</v>
      </c>
      <c r="AN15" s="48">
        <f t="shared" si="12"/>
        <v>26183784.474408086</v>
      </c>
      <c r="AO15" s="48">
        <f t="shared" si="13"/>
        <v>30184122.607810203</v>
      </c>
      <c r="AP15" s="48">
        <f t="shared" si="23"/>
        <v>78375456.819550186</v>
      </c>
      <c r="AQ15" s="49">
        <f t="shared" si="24"/>
        <v>1.381026605468366E-2</v>
      </c>
    </row>
    <row r="16" spans="1:43" ht="14.25" x14ac:dyDescent="0.2">
      <c r="A16" s="2" t="s">
        <v>10</v>
      </c>
      <c r="B16" s="36">
        <v>12155591</v>
      </c>
      <c r="C16" s="36">
        <v>4001782</v>
      </c>
      <c r="D16" s="45">
        <f t="shared" si="0"/>
        <v>0.32921328136163847</v>
      </c>
      <c r="E16" s="46">
        <f t="shared" si="14"/>
        <v>1317439.7835139404</v>
      </c>
      <c r="F16" s="84">
        <f t="shared" si="1"/>
        <v>1.1587243339434038E-3</v>
      </c>
      <c r="G16" s="160">
        <v>16092</v>
      </c>
      <c r="H16" s="81">
        <f t="shared" si="2"/>
        <v>3.4580735444480213E-3</v>
      </c>
      <c r="I16" s="35">
        <f t="shared" si="15"/>
        <v>2.9393625127808179E-3</v>
      </c>
      <c r="J16" s="36">
        <v>102.38</v>
      </c>
      <c r="K16" s="78">
        <f t="shared" si="3"/>
        <v>1.5942039366466652E-3</v>
      </c>
      <c r="L16" s="37">
        <f t="shared" si="16"/>
        <v>2.3913059049699976E-4</v>
      </c>
      <c r="M16" s="84">
        <f t="shared" si="17"/>
        <v>3.1784931032778178E-3</v>
      </c>
      <c r="N16" s="38">
        <v>981</v>
      </c>
      <c r="O16" s="39">
        <v>219</v>
      </c>
      <c r="P16" s="39">
        <v>1075</v>
      </c>
      <c r="Q16" s="39">
        <v>108</v>
      </c>
      <c r="R16" s="40">
        <f t="shared" si="18"/>
        <v>5.73669449441067E-4</v>
      </c>
      <c r="S16" s="40">
        <f t="shared" si="4"/>
        <v>6.2242079055966715E-4</v>
      </c>
      <c r="T16" s="40">
        <f t="shared" si="4"/>
        <v>8.0440469562822884E-4</v>
      </c>
      <c r="U16" s="40">
        <f t="shared" si="4"/>
        <v>6.8977850445801295E-4</v>
      </c>
      <c r="V16" s="41">
        <f t="shared" si="19"/>
        <v>2.6902734400869759E-3</v>
      </c>
      <c r="W16" s="42">
        <v>716.99999998365001</v>
      </c>
      <c r="X16" s="42">
        <v>253</v>
      </c>
      <c r="Y16" s="42">
        <v>273</v>
      </c>
      <c r="Z16" s="42">
        <v>153</v>
      </c>
      <c r="AA16" s="43">
        <f t="shared" si="20"/>
        <v>5.6389558257784655E-4</v>
      </c>
      <c r="AB16" s="43">
        <f t="shared" si="5"/>
        <v>8.6357554408672619E-4</v>
      </c>
      <c r="AC16" s="43">
        <f t="shared" si="5"/>
        <v>5.5435524221059812E-4</v>
      </c>
      <c r="AD16" s="43">
        <f t="shared" si="5"/>
        <v>2.786682208946525E-3</v>
      </c>
      <c r="AE16" s="34">
        <f t="shared" si="21"/>
        <v>4.7685085778216962E-3</v>
      </c>
      <c r="AF16" s="44">
        <f t="shared" si="6"/>
        <v>4.0532322911484417E-3</v>
      </c>
      <c r="AG16" s="34">
        <f t="shared" si="7"/>
        <v>0.77249959307762084</v>
      </c>
      <c r="AH16" s="34">
        <f t="shared" si="8"/>
        <v>0</v>
      </c>
      <c r="AI16" s="35">
        <f t="shared" si="22"/>
        <v>0</v>
      </c>
      <c r="AJ16" s="35">
        <f t="shared" si="9"/>
        <v>0</v>
      </c>
      <c r="AK16" s="84">
        <f t="shared" si="10"/>
        <v>4.0532322911484417E-3</v>
      </c>
      <c r="AM16" s="47">
        <f t="shared" si="11"/>
        <v>3287972.4634249099</v>
      </c>
      <c r="AN16" s="48">
        <f t="shared" si="12"/>
        <v>4509613.5002175188</v>
      </c>
      <c r="AO16" s="48">
        <f t="shared" si="13"/>
        <v>5750684.5117363641</v>
      </c>
      <c r="AP16" s="48">
        <f t="shared" si="23"/>
        <v>13548270.475378793</v>
      </c>
      <c r="AQ16" s="49">
        <f t="shared" si="24"/>
        <v>2.3872935155782667E-3</v>
      </c>
    </row>
    <row r="17" spans="1:43" ht="14.25" x14ac:dyDescent="0.2">
      <c r="A17" s="2" t="s">
        <v>11</v>
      </c>
      <c r="B17" s="36">
        <v>4246390</v>
      </c>
      <c r="C17" s="36">
        <v>1009815</v>
      </c>
      <c r="D17" s="45">
        <f t="shared" si="0"/>
        <v>0.23780552422175072</v>
      </c>
      <c r="E17" s="46">
        <f t="shared" si="14"/>
        <v>240139.5854419872</v>
      </c>
      <c r="F17" s="84">
        <f t="shared" si="1"/>
        <v>2.1120933546771658E-4</v>
      </c>
      <c r="G17" s="160">
        <v>7855</v>
      </c>
      <c r="H17" s="81">
        <f t="shared" si="2"/>
        <v>1.6879920265746463E-3</v>
      </c>
      <c r="I17" s="35">
        <f t="shared" si="15"/>
        <v>1.4347932225884494E-3</v>
      </c>
      <c r="J17" s="36">
        <v>1006.89</v>
      </c>
      <c r="K17" s="78">
        <f t="shared" si="3"/>
        <v>1.5678726331023254E-2</v>
      </c>
      <c r="L17" s="37">
        <f t="shared" si="16"/>
        <v>2.3518089496534882E-3</v>
      </c>
      <c r="M17" s="84">
        <f t="shared" si="17"/>
        <v>3.7866021722419377E-3</v>
      </c>
      <c r="N17" s="38">
        <v>1343</v>
      </c>
      <c r="O17" s="39">
        <v>344</v>
      </c>
      <c r="P17" s="39">
        <v>1532</v>
      </c>
      <c r="Q17" s="39">
        <v>359</v>
      </c>
      <c r="R17" s="40">
        <f t="shared" si="18"/>
        <v>7.85359908867842E-4</v>
      </c>
      <c r="S17" s="40">
        <f t="shared" si="4"/>
        <v>9.7768379886997952E-4</v>
      </c>
      <c r="T17" s="40">
        <f t="shared" si="4"/>
        <v>1.1463702266999503E-3</v>
      </c>
      <c r="U17" s="40">
        <f t="shared" si="4"/>
        <v>2.2928748435224688E-3</v>
      </c>
      <c r="V17" s="41">
        <f t="shared" si="19"/>
        <v>5.2022887779602407E-3</v>
      </c>
      <c r="W17" s="42">
        <v>655.00000000354908</v>
      </c>
      <c r="X17" s="42">
        <v>319</v>
      </c>
      <c r="Y17" s="42">
        <v>345</v>
      </c>
      <c r="Z17" s="42">
        <v>110</v>
      </c>
      <c r="AA17" s="43">
        <f t="shared" si="20"/>
        <v>5.1513473723697805E-4</v>
      </c>
      <c r="AB17" s="43">
        <f t="shared" si="5"/>
        <v>1.0888561208050025E-3</v>
      </c>
      <c r="AC17" s="43">
        <f t="shared" si="5"/>
        <v>7.0055882257383283E-4</v>
      </c>
      <c r="AD17" s="43">
        <f t="shared" si="5"/>
        <v>2.0034970129680896E-3</v>
      </c>
      <c r="AE17" s="34">
        <f t="shared" si="21"/>
        <v>4.3080466935839033E-3</v>
      </c>
      <c r="AF17" s="44">
        <f t="shared" si="6"/>
        <v>3.6618396895463177E-3</v>
      </c>
      <c r="AG17" s="34">
        <f t="shared" si="7"/>
        <v>-0.17189397254624528</v>
      </c>
      <c r="AH17" s="34">
        <f t="shared" si="8"/>
        <v>-0.17189397254624528</v>
      </c>
      <c r="AI17" s="35">
        <f t="shared" si="22"/>
        <v>3.2030795468082691E-2</v>
      </c>
      <c r="AJ17" s="35">
        <f t="shared" si="9"/>
        <v>4.8046193202124039E-3</v>
      </c>
      <c r="AK17" s="84">
        <f t="shared" si="10"/>
        <v>8.4664590097587207E-3</v>
      </c>
      <c r="AM17" s="47">
        <f t="shared" si="11"/>
        <v>599323.28914915642</v>
      </c>
      <c r="AN17" s="48">
        <f t="shared" si="12"/>
        <v>5372392.4265512805</v>
      </c>
      <c r="AO17" s="48">
        <f t="shared" si="13"/>
        <v>12012125.434556587</v>
      </c>
      <c r="AP17" s="48">
        <f t="shared" si="23"/>
        <v>17983841.150257025</v>
      </c>
      <c r="AQ17" s="49">
        <f t="shared" si="24"/>
        <v>3.1688699632340229E-3</v>
      </c>
    </row>
    <row r="18" spans="1:43" ht="14.25" x14ac:dyDescent="0.2">
      <c r="A18" s="2" t="s">
        <v>12</v>
      </c>
      <c r="B18" s="36">
        <v>3608731</v>
      </c>
      <c r="C18" s="36">
        <v>933397</v>
      </c>
      <c r="D18" s="45">
        <f t="shared" si="0"/>
        <v>0.25864964720285333</v>
      </c>
      <c r="E18" s="46">
        <f t="shared" si="14"/>
        <v>241422.8047502017</v>
      </c>
      <c r="F18" s="84">
        <f t="shared" si="1"/>
        <v>2.1233796195738294E-4</v>
      </c>
      <c r="G18" s="160">
        <v>10864</v>
      </c>
      <c r="H18" s="81">
        <f t="shared" si="2"/>
        <v>2.3346079410193452E-3</v>
      </c>
      <c r="I18" s="35">
        <f t="shared" si="15"/>
        <v>1.9844167498664434E-3</v>
      </c>
      <c r="J18" s="36">
        <v>4292.05</v>
      </c>
      <c r="K18" s="78">
        <f t="shared" si="3"/>
        <v>6.6833395255756198E-2</v>
      </c>
      <c r="L18" s="37">
        <f t="shared" si="16"/>
        <v>1.002500928836343E-2</v>
      </c>
      <c r="M18" s="84">
        <f t="shared" si="17"/>
        <v>1.2009426038229874E-2</v>
      </c>
      <c r="N18" s="38">
        <v>2046</v>
      </c>
      <c r="O18" s="39">
        <v>494</v>
      </c>
      <c r="P18" s="39">
        <v>4758</v>
      </c>
      <c r="Q18" s="39">
        <v>898</v>
      </c>
      <c r="R18" s="40">
        <f t="shared" si="18"/>
        <v>1.1964604419535403E-3</v>
      </c>
      <c r="S18" s="40">
        <f t="shared" si="4"/>
        <v>1.4039994088423542E-3</v>
      </c>
      <c r="T18" s="40">
        <f t="shared" si="4"/>
        <v>3.5603325970224304E-3</v>
      </c>
      <c r="U18" s="40">
        <f t="shared" si="4"/>
        <v>5.7353805278082927E-3</v>
      </c>
      <c r="V18" s="41">
        <f t="shared" si="19"/>
        <v>1.1896172975626618E-2</v>
      </c>
      <c r="W18" s="42">
        <v>787.99999998764804</v>
      </c>
      <c r="X18" s="42">
        <v>378</v>
      </c>
      <c r="Y18" s="42">
        <v>1925</v>
      </c>
      <c r="Z18" s="42">
        <v>123</v>
      </c>
      <c r="AA18" s="43">
        <f t="shared" si="20"/>
        <v>6.1973461516668131E-4</v>
      </c>
      <c r="AB18" s="43">
        <f t="shared" si="5"/>
        <v>1.2902433030228557E-3</v>
      </c>
      <c r="AC18" s="43">
        <f t="shared" si="5"/>
        <v>3.9089151694337047E-3</v>
      </c>
      <c r="AD18" s="43">
        <f t="shared" si="5"/>
        <v>2.2402739326825003E-3</v>
      </c>
      <c r="AE18" s="34">
        <f t="shared" si="21"/>
        <v>8.0591670203057422E-3</v>
      </c>
      <c r="AF18" s="44">
        <f t="shared" si="6"/>
        <v>6.8502919672598804E-3</v>
      </c>
      <c r="AG18" s="34">
        <f t="shared" si="7"/>
        <v>-0.32254120406472697</v>
      </c>
      <c r="AH18" s="34">
        <f t="shared" si="8"/>
        <v>-0.32254120406472697</v>
      </c>
      <c r="AI18" s="35">
        <f t="shared" si="22"/>
        <v>6.0102464236475396E-2</v>
      </c>
      <c r="AJ18" s="35">
        <f t="shared" si="9"/>
        <v>9.0153696354713098E-3</v>
      </c>
      <c r="AK18" s="84">
        <f t="shared" si="10"/>
        <v>1.5865661602731191E-2</v>
      </c>
      <c r="AM18" s="47">
        <f t="shared" si="11"/>
        <v>602525.8565854386</v>
      </c>
      <c r="AN18" s="48">
        <f t="shared" si="12"/>
        <v>17038850.811415944</v>
      </c>
      <c r="AO18" s="48">
        <f t="shared" si="13"/>
        <v>22510038.382583085</v>
      </c>
      <c r="AP18" s="48">
        <f t="shared" si="23"/>
        <v>40151415.050584465</v>
      </c>
      <c r="AQ18" s="49">
        <f t="shared" si="24"/>
        <v>7.0749408912189572E-3</v>
      </c>
    </row>
    <row r="19" spans="1:43" ht="14.25" x14ac:dyDescent="0.2">
      <c r="A19" s="2" t="s">
        <v>13</v>
      </c>
      <c r="B19" s="36">
        <v>27095871</v>
      </c>
      <c r="C19" s="36">
        <v>12162147</v>
      </c>
      <c r="D19" s="45">
        <f t="shared" si="0"/>
        <v>0.44885610062138248</v>
      </c>
      <c r="E19" s="46">
        <f t="shared" si="14"/>
        <v>5459053.877604045</v>
      </c>
      <c r="F19" s="84">
        <f t="shared" si="1"/>
        <v>4.80138724171219E-3</v>
      </c>
      <c r="G19" s="160">
        <v>24526</v>
      </c>
      <c r="H19" s="81">
        <f t="shared" si="2"/>
        <v>5.2704891717084371E-3</v>
      </c>
      <c r="I19" s="35">
        <f t="shared" si="15"/>
        <v>4.4799157959521715E-3</v>
      </c>
      <c r="J19" s="36">
        <v>146.56</v>
      </c>
      <c r="K19" s="78">
        <f t="shared" si="3"/>
        <v>2.2821501167702212E-3</v>
      </c>
      <c r="L19" s="37">
        <f t="shared" si="16"/>
        <v>3.4232251751553319E-4</v>
      </c>
      <c r="M19" s="84">
        <f t="shared" si="17"/>
        <v>4.8222383134677044E-3</v>
      </c>
      <c r="N19" s="38">
        <v>1162</v>
      </c>
      <c r="O19" s="39">
        <v>349</v>
      </c>
      <c r="P19" s="39">
        <v>489</v>
      </c>
      <c r="Q19" s="39">
        <v>43</v>
      </c>
      <c r="R19" s="40">
        <f t="shared" si="18"/>
        <v>6.7951467915445456E-4</v>
      </c>
      <c r="S19" s="40">
        <f t="shared" si="4"/>
        <v>9.9189431920239184E-4</v>
      </c>
      <c r="T19" s="40">
        <f t="shared" si="4"/>
        <v>3.6591060108111993E-4</v>
      </c>
      <c r="U19" s="40">
        <f t="shared" si="4"/>
        <v>2.7463403418235698E-4</v>
      </c>
      <c r="V19" s="41">
        <f t="shared" si="19"/>
        <v>2.3119536336203231E-3</v>
      </c>
      <c r="W19" s="42">
        <v>2032.9999999577099</v>
      </c>
      <c r="X19" s="42">
        <v>358</v>
      </c>
      <c r="Y19" s="42">
        <v>131</v>
      </c>
      <c r="Z19" s="42">
        <v>31</v>
      </c>
      <c r="AA19" s="43">
        <f t="shared" si="20"/>
        <v>1.5988838485119338E-3</v>
      </c>
      <c r="AB19" s="43">
        <f t="shared" si="5"/>
        <v>1.221976461593075E-3</v>
      </c>
      <c r="AC19" s="43">
        <f t="shared" si="5"/>
        <v>2.6600929204977422E-4</v>
      </c>
      <c r="AD19" s="43">
        <f t="shared" si="5"/>
        <v>5.6462188547282534E-4</v>
      </c>
      <c r="AE19" s="34">
        <f t="shared" si="21"/>
        <v>3.6514914876276086E-3</v>
      </c>
      <c r="AF19" s="44">
        <f t="shared" si="6"/>
        <v>3.1037677644834673E-3</v>
      </c>
      <c r="AG19" s="34">
        <f t="shared" si="7"/>
        <v>0.57939650455259473</v>
      </c>
      <c r="AH19" s="34">
        <f t="shared" si="8"/>
        <v>0</v>
      </c>
      <c r="AI19" s="35">
        <f t="shared" si="22"/>
        <v>0</v>
      </c>
      <c r="AJ19" s="35">
        <f t="shared" si="9"/>
        <v>0</v>
      </c>
      <c r="AK19" s="84">
        <f t="shared" si="10"/>
        <v>3.1037677644834673E-3</v>
      </c>
      <c r="AM19" s="47">
        <f t="shared" si="11"/>
        <v>13624318.204540655</v>
      </c>
      <c r="AN19" s="48">
        <f t="shared" si="12"/>
        <v>6841742.3895789282</v>
      </c>
      <c r="AO19" s="48">
        <f t="shared" si="13"/>
        <v>4403593.95394642</v>
      </c>
      <c r="AP19" s="48">
        <f t="shared" si="23"/>
        <v>24869654.548066001</v>
      </c>
      <c r="AQ19" s="49">
        <f t="shared" si="24"/>
        <v>4.3821951403438877E-3</v>
      </c>
    </row>
    <row r="20" spans="1:43" ht="14.25" x14ac:dyDescent="0.2">
      <c r="A20" s="2" t="s">
        <v>14</v>
      </c>
      <c r="B20" s="36">
        <v>4826493</v>
      </c>
      <c r="C20" s="36">
        <v>665188</v>
      </c>
      <c r="D20" s="45">
        <f t="shared" si="0"/>
        <v>0.13782015223061547</v>
      </c>
      <c r="E20" s="46">
        <f t="shared" si="14"/>
        <v>91676.311421978651</v>
      </c>
      <c r="F20" s="84">
        <f t="shared" si="1"/>
        <v>8.0631824103174463E-5</v>
      </c>
      <c r="G20" s="160">
        <v>35445</v>
      </c>
      <c r="H20" s="81">
        <f t="shared" si="2"/>
        <v>7.6169162803231489E-3</v>
      </c>
      <c r="I20" s="35">
        <f t="shared" si="15"/>
        <v>6.4743788382746765E-3</v>
      </c>
      <c r="J20" s="36">
        <v>5091.18</v>
      </c>
      <c r="K20" s="78">
        <f t="shared" si="3"/>
        <v>7.9276999396139566E-2</v>
      </c>
      <c r="L20" s="37">
        <f t="shared" si="16"/>
        <v>1.1891549909420934E-2</v>
      </c>
      <c r="M20" s="84">
        <f t="shared" si="17"/>
        <v>1.836592874769561E-2</v>
      </c>
      <c r="N20" s="38">
        <v>7369</v>
      </c>
      <c r="O20" s="39">
        <v>3474</v>
      </c>
      <c r="P20" s="39">
        <v>27910</v>
      </c>
      <c r="Q20" s="39">
        <v>2988</v>
      </c>
      <c r="R20" s="40">
        <f t="shared" si="18"/>
        <v>4.3092458439665882E-3</v>
      </c>
      <c r="S20" s="40">
        <f t="shared" si="4"/>
        <v>9.8734695269601987E-3</v>
      </c>
      <c r="T20" s="40">
        <f t="shared" si="4"/>
        <v>2.08845907488222E-2</v>
      </c>
      <c r="U20" s="40">
        <f t="shared" si="4"/>
        <v>1.9083871956671692E-2</v>
      </c>
      <c r="V20" s="41">
        <f t="shared" si="19"/>
        <v>5.4151178076420683E-2</v>
      </c>
      <c r="W20" s="42">
        <v>7387.0000000238397</v>
      </c>
      <c r="X20" s="42">
        <v>3170</v>
      </c>
      <c r="Y20" s="42">
        <v>23798</v>
      </c>
      <c r="Z20" s="42">
        <v>1385</v>
      </c>
      <c r="AA20" s="43">
        <f t="shared" si="20"/>
        <v>5.8096187846736159E-3</v>
      </c>
      <c r="AB20" s="43">
        <f t="shared" si="5"/>
        <v>1.0820294366620246E-2</v>
      </c>
      <c r="AC20" s="43">
        <f t="shared" si="5"/>
        <v>4.8324344520614702E-2</v>
      </c>
      <c r="AD20" s="43">
        <f t="shared" si="5"/>
        <v>2.522584875418913E-2</v>
      </c>
      <c r="AE20" s="34">
        <f t="shared" si="21"/>
        <v>9.0180106426097695E-2</v>
      </c>
      <c r="AF20" s="44">
        <f t="shared" si="6"/>
        <v>7.6653090462183035E-2</v>
      </c>
      <c r="AG20" s="34">
        <f t="shared" si="7"/>
        <v>0.66533969582030694</v>
      </c>
      <c r="AH20" s="34">
        <f t="shared" si="8"/>
        <v>0</v>
      </c>
      <c r="AI20" s="35">
        <f t="shared" si="22"/>
        <v>0</v>
      </c>
      <c r="AJ20" s="35">
        <f t="shared" si="9"/>
        <v>0</v>
      </c>
      <c r="AK20" s="84">
        <f t="shared" si="10"/>
        <v>7.6653090462183035E-2</v>
      </c>
      <c r="AM20" s="47">
        <f t="shared" si="11"/>
        <v>228799.21441255219</v>
      </c>
      <c r="AN20" s="48">
        <f t="shared" si="12"/>
        <v>26057391.831125818</v>
      </c>
      <c r="AO20" s="48">
        <f t="shared" si="13"/>
        <v>108754620.61729111</v>
      </c>
      <c r="AP20" s="48">
        <f t="shared" si="23"/>
        <v>135040811.66282949</v>
      </c>
      <c r="AQ20" s="49">
        <f t="shared" si="24"/>
        <v>2.3795070714521253E-2</v>
      </c>
    </row>
    <row r="21" spans="1:43" ht="14.25" x14ac:dyDescent="0.2">
      <c r="A21" s="2" t="s">
        <v>15</v>
      </c>
      <c r="B21" s="36">
        <v>1196595</v>
      </c>
      <c r="C21" s="36">
        <v>288600</v>
      </c>
      <c r="D21" s="45">
        <f t="shared" si="0"/>
        <v>0.24118436062326853</v>
      </c>
      <c r="E21" s="46">
        <f t="shared" si="14"/>
        <v>69605.806475875303</v>
      </c>
      <c r="F21" s="84">
        <f t="shared" si="1"/>
        <v>6.1220211167623847E-5</v>
      </c>
      <c r="G21" s="160">
        <v>1716</v>
      </c>
      <c r="H21" s="81">
        <f t="shared" si="2"/>
        <v>3.6875802897544147E-4</v>
      </c>
      <c r="I21" s="35">
        <f t="shared" si="15"/>
        <v>3.1344432462912525E-4</v>
      </c>
      <c r="J21" s="36">
        <v>720.74</v>
      </c>
      <c r="K21" s="78">
        <f t="shared" si="3"/>
        <v>1.1222959028117967E-2</v>
      </c>
      <c r="L21" s="37">
        <f t="shared" si="16"/>
        <v>1.683443854217695E-3</v>
      </c>
      <c r="M21" s="84">
        <f t="shared" si="17"/>
        <v>1.9968881788468202E-3</v>
      </c>
      <c r="N21" s="38">
        <v>381</v>
      </c>
      <c r="O21" s="39">
        <v>111</v>
      </c>
      <c r="P21" s="39">
        <v>881</v>
      </c>
      <c r="Q21" s="39">
        <v>100</v>
      </c>
      <c r="R21" s="40">
        <f t="shared" si="18"/>
        <v>2.2280128464530736E-4</v>
      </c>
      <c r="S21" s="40">
        <f t="shared" si="4"/>
        <v>3.1547355137955733E-4</v>
      </c>
      <c r="T21" s="40">
        <f t="shared" si="4"/>
        <v>6.5923770869625079E-4</v>
      </c>
      <c r="U21" s="40">
        <f t="shared" si="4"/>
        <v>6.3868380042408609E-4</v>
      </c>
      <c r="V21" s="41">
        <f t="shared" si="19"/>
        <v>1.8361963451452015E-3</v>
      </c>
      <c r="W21" s="42">
        <v>157.99999999728001</v>
      </c>
      <c r="X21" s="42">
        <v>83</v>
      </c>
      <c r="Y21" s="42">
        <v>189</v>
      </c>
      <c r="Z21" s="42">
        <v>25</v>
      </c>
      <c r="AA21" s="43">
        <f t="shared" si="20"/>
        <v>1.2426150913221427E-4</v>
      </c>
      <c r="AB21" s="43">
        <f t="shared" si="5"/>
        <v>2.8330739193359002E-4</v>
      </c>
      <c r="AC21" s="43">
        <f t="shared" si="5"/>
        <v>3.8378439845349104E-4</v>
      </c>
      <c r="AD21" s="43">
        <f t="shared" si="5"/>
        <v>4.5534023022002039E-4</v>
      </c>
      <c r="AE21" s="34">
        <f t="shared" si="21"/>
        <v>1.2466935297393157E-3</v>
      </c>
      <c r="AF21" s="44">
        <f t="shared" si="6"/>
        <v>1.0596895002784182E-3</v>
      </c>
      <c r="AG21" s="34">
        <f t="shared" si="7"/>
        <v>-0.32104563162022282</v>
      </c>
      <c r="AH21" s="34">
        <f t="shared" si="8"/>
        <v>-0.32104563162022282</v>
      </c>
      <c r="AI21" s="35">
        <f t="shared" si="22"/>
        <v>5.982377863529921E-2</v>
      </c>
      <c r="AJ21" s="35">
        <f t="shared" si="9"/>
        <v>8.9735667952948808E-3</v>
      </c>
      <c r="AK21" s="84">
        <f t="shared" si="10"/>
        <v>1.0033256295573299E-2</v>
      </c>
      <c r="AM21" s="47">
        <f t="shared" si="11"/>
        <v>173717.21869270512</v>
      </c>
      <c r="AN21" s="48">
        <f t="shared" si="12"/>
        <v>2833164.5207805545</v>
      </c>
      <c r="AO21" s="48">
        <f t="shared" si="13"/>
        <v>14235081.395960797</v>
      </c>
      <c r="AP21" s="48">
        <f t="shared" si="23"/>
        <v>17241963.135434058</v>
      </c>
      <c r="AQ21" s="49">
        <f t="shared" si="24"/>
        <v>3.0381462241888422E-3</v>
      </c>
    </row>
    <row r="22" spans="1:43" ht="14.25" x14ac:dyDescent="0.2">
      <c r="A22" s="2" t="s">
        <v>16</v>
      </c>
      <c r="B22" s="36">
        <v>1526301</v>
      </c>
      <c r="C22" s="36">
        <v>540876</v>
      </c>
      <c r="D22" s="45">
        <f t="shared" si="0"/>
        <v>0.35437046821039886</v>
      </c>
      <c r="E22" s="46">
        <f t="shared" si="14"/>
        <v>191670.4813637677</v>
      </c>
      <c r="F22" s="84">
        <f t="shared" si="1"/>
        <v>1.6857943234601982E-4</v>
      </c>
      <c r="G22" s="160">
        <v>3345</v>
      </c>
      <c r="H22" s="81">
        <f t="shared" si="2"/>
        <v>7.1882028375457561E-4</v>
      </c>
      <c r="I22" s="35">
        <f t="shared" si="15"/>
        <v>6.1099724119138929E-4</v>
      </c>
      <c r="J22" s="36">
        <v>615.78</v>
      </c>
      <c r="K22" s="78">
        <f t="shared" si="3"/>
        <v>9.5885807785532663E-3</v>
      </c>
      <c r="L22" s="37">
        <f t="shared" si="16"/>
        <v>1.4382871167829899E-3</v>
      </c>
      <c r="M22" s="84">
        <f t="shared" si="17"/>
        <v>2.049284357974379E-3</v>
      </c>
      <c r="N22" s="38">
        <v>519</v>
      </c>
      <c r="O22" s="39">
        <v>176</v>
      </c>
      <c r="P22" s="39">
        <v>1034</v>
      </c>
      <c r="Q22" s="39">
        <v>145</v>
      </c>
      <c r="R22" s="40">
        <f t="shared" si="18"/>
        <v>3.0350096254833211E-4</v>
      </c>
      <c r="S22" s="40">
        <f t="shared" si="4"/>
        <v>5.0021031570091968E-4</v>
      </c>
      <c r="T22" s="40">
        <f t="shared" si="4"/>
        <v>7.7372507467868713E-4</v>
      </c>
      <c r="U22" s="40">
        <f t="shared" si="4"/>
        <v>9.2609151061492478E-4</v>
      </c>
      <c r="V22" s="41">
        <f t="shared" si="19"/>
        <v>2.5035278635428637E-3</v>
      </c>
      <c r="W22" s="42">
        <v>277.00000000287605</v>
      </c>
      <c r="X22" s="42">
        <v>136</v>
      </c>
      <c r="Y22" s="42">
        <v>317</v>
      </c>
      <c r="Z22" s="42">
        <v>84</v>
      </c>
      <c r="AA22" s="43">
        <f t="shared" si="20"/>
        <v>2.1785087361122336E-4</v>
      </c>
      <c r="AB22" s="43">
        <f t="shared" si="5"/>
        <v>4.6421452172250896E-4</v>
      </c>
      <c r="AC22" s="43">
        <f t="shared" si="5"/>
        <v>6.4370187465479715E-4</v>
      </c>
      <c r="AD22" s="43">
        <f t="shared" si="5"/>
        <v>1.5299431735392686E-3</v>
      </c>
      <c r="AE22" s="34">
        <f t="shared" si="21"/>
        <v>2.8557104435277978E-3</v>
      </c>
      <c r="AF22" s="44">
        <f t="shared" si="6"/>
        <v>2.4273538769986279E-3</v>
      </c>
      <c r="AG22" s="34">
        <f t="shared" si="7"/>
        <v>0.14067451979006276</v>
      </c>
      <c r="AH22" s="34">
        <f t="shared" si="8"/>
        <v>0</v>
      </c>
      <c r="AI22" s="35">
        <f t="shared" si="22"/>
        <v>0</v>
      </c>
      <c r="AJ22" s="35">
        <f t="shared" si="9"/>
        <v>0</v>
      </c>
      <c r="AK22" s="84">
        <f t="shared" si="10"/>
        <v>2.4273538769986279E-3</v>
      </c>
      <c r="AM22" s="47">
        <f t="shared" si="11"/>
        <v>478357.54822474363</v>
      </c>
      <c r="AN22" s="48">
        <f t="shared" si="12"/>
        <v>2907503.6837347806</v>
      </c>
      <c r="AO22" s="48">
        <f t="shared" si="13"/>
        <v>3443904.8498264332</v>
      </c>
      <c r="AP22" s="48">
        <f t="shared" si="23"/>
        <v>6829766.0817859573</v>
      </c>
      <c r="AQ22" s="49">
        <f t="shared" si="24"/>
        <v>1.2034492749162615E-3</v>
      </c>
    </row>
    <row r="23" spans="1:43" ht="14.25" x14ac:dyDescent="0.2">
      <c r="A23" s="2" t="s">
        <v>17</v>
      </c>
      <c r="B23" s="36">
        <v>8523125</v>
      </c>
      <c r="C23" s="36">
        <v>802881</v>
      </c>
      <c r="D23" s="45">
        <f t="shared" si="0"/>
        <v>9.4200307985627341E-2</v>
      </c>
      <c r="E23" s="46">
        <f t="shared" si="14"/>
        <v>75631.637475808471</v>
      </c>
      <c r="F23" s="84">
        <f t="shared" si="1"/>
        <v>6.6520094395098271E-5</v>
      </c>
      <c r="G23" s="160">
        <v>39991</v>
      </c>
      <c r="H23" s="81">
        <f t="shared" si="2"/>
        <v>8.5938242055692785E-3</v>
      </c>
      <c r="I23" s="35">
        <f t="shared" si="15"/>
        <v>7.3047505747338868E-3</v>
      </c>
      <c r="J23" s="36">
        <v>7010.79</v>
      </c>
      <c r="K23" s="78">
        <f t="shared" si="3"/>
        <v>0.1091680896366778</v>
      </c>
      <c r="L23" s="37">
        <f t="shared" si="16"/>
        <v>1.637521344550167E-2</v>
      </c>
      <c r="M23" s="84">
        <f t="shared" si="17"/>
        <v>2.3679964020235558E-2</v>
      </c>
      <c r="N23" s="38">
        <v>6824</v>
      </c>
      <c r="O23" s="39">
        <v>2866</v>
      </c>
      <c r="P23" s="39">
        <v>26645</v>
      </c>
      <c r="Q23" s="39">
        <v>2369</v>
      </c>
      <c r="R23" s="40">
        <f t="shared" si="18"/>
        <v>3.9905405942771066E-3</v>
      </c>
      <c r="S23" s="40">
        <f t="shared" si="18"/>
        <v>8.1454702545388398E-3</v>
      </c>
      <c r="T23" s="40">
        <f t="shared" si="18"/>
        <v>1.9938012200013171E-2</v>
      </c>
      <c r="U23" s="40">
        <f t="shared" si="18"/>
        <v>1.5130419232046598E-2</v>
      </c>
      <c r="V23" s="41">
        <f t="shared" si="19"/>
        <v>4.7204442280875711E-2</v>
      </c>
      <c r="W23" s="42">
        <v>7532.9999999958</v>
      </c>
      <c r="X23" s="42">
        <v>2466</v>
      </c>
      <c r="Y23" s="42">
        <v>13627</v>
      </c>
      <c r="Z23" s="42">
        <v>715</v>
      </c>
      <c r="AA23" s="43">
        <f t="shared" si="20"/>
        <v>5.9244427108136877E-3</v>
      </c>
      <c r="AB23" s="43">
        <f t="shared" si="5"/>
        <v>8.4173015482919642E-3</v>
      </c>
      <c r="AC23" s="43">
        <f t="shared" si="5"/>
        <v>2.7671058189024985E-2</v>
      </c>
      <c r="AD23" s="43">
        <f t="shared" si="5"/>
        <v>1.3022730584292583E-2</v>
      </c>
      <c r="AE23" s="34">
        <f t="shared" si="21"/>
        <v>5.5035533032423221E-2</v>
      </c>
      <c r="AF23" s="44">
        <f t="shared" si="6"/>
        <v>4.6780203077559736E-2</v>
      </c>
      <c r="AG23" s="34">
        <f t="shared" si="7"/>
        <v>0.16589732603874402</v>
      </c>
      <c r="AH23" s="34">
        <f t="shared" si="8"/>
        <v>0</v>
      </c>
      <c r="AI23" s="35">
        <f t="shared" si="22"/>
        <v>0</v>
      </c>
      <c r="AJ23" s="35">
        <f t="shared" si="9"/>
        <v>0</v>
      </c>
      <c r="AK23" s="84">
        <f t="shared" si="10"/>
        <v>4.6780203077559736E-2</v>
      </c>
      <c r="AM23" s="47">
        <f t="shared" si="11"/>
        <v>188756.05890761563</v>
      </c>
      <c r="AN23" s="48">
        <f t="shared" si="12"/>
        <v>33596890.71535027</v>
      </c>
      <c r="AO23" s="48">
        <f t="shared" si="13"/>
        <v>66371273.583676353</v>
      </c>
      <c r="AP23" s="48">
        <f t="shared" si="23"/>
        <v>100156920.35793424</v>
      </c>
      <c r="AQ23" s="49">
        <f t="shared" si="24"/>
        <v>1.7648301821646371E-2</v>
      </c>
    </row>
    <row r="24" spans="1:43" ht="14.25" x14ac:dyDescent="0.2">
      <c r="A24" s="2" t="s">
        <v>18</v>
      </c>
      <c r="B24" s="36">
        <v>114622404</v>
      </c>
      <c r="C24" s="36">
        <v>54578683.010000005</v>
      </c>
      <c r="D24" s="45">
        <f t="shared" si="0"/>
        <v>0.47616069027831598</v>
      </c>
      <c r="E24" s="46">
        <f t="shared" si="14"/>
        <v>25988223.376522999</v>
      </c>
      <c r="F24" s="84">
        <f t="shared" si="1"/>
        <v>2.2857353481473462E-2</v>
      </c>
      <c r="G24" s="160">
        <v>143668</v>
      </c>
      <c r="H24" s="81">
        <f t="shared" si="2"/>
        <v>3.0873384910748092E-2</v>
      </c>
      <c r="I24" s="35">
        <f t="shared" si="15"/>
        <v>2.6242377174135877E-2</v>
      </c>
      <c r="J24" s="36">
        <v>1040.01</v>
      </c>
      <c r="K24" s="78">
        <f t="shared" si="3"/>
        <v>1.6194452394529189E-2</v>
      </c>
      <c r="L24" s="37">
        <f t="shared" si="16"/>
        <v>2.4291678591793781E-3</v>
      </c>
      <c r="M24" s="84">
        <f t="shared" si="17"/>
        <v>2.8671545033315253E-2</v>
      </c>
      <c r="N24" s="38">
        <v>3671</v>
      </c>
      <c r="O24" s="39">
        <v>1263</v>
      </c>
      <c r="P24" s="39">
        <v>9334</v>
      </c>
      <c r="Q24" s="39">
        <v>932</v>
      </c>
      <c r="R24" s="40">
        <f t="shared" si="18"/>
        <v>2.1467283882753894E-3</v>
      </c>
      <c r="S24" s="40">
        <f t="shared" si="18"/>
        <v>3.5895774359673955E-3</v>
      </c>
      <c r="T24" s="40">
        <f t="shared" si="18"/>
        <v>6.9844776083664078E-3</v>
      </c>
      <c r="U24" s="40">
        <f t="shared" si="18"/>
        <v>5.9525330199524818E-3</v>
      </c>
      <c r="V24" s="41">
        <f t="shared" si="19"/>
        <v>1.8673316452561674E-2</v>
      </c>
      <c r="W24" s="42">
        <v>8688.9999999445354</v>
      </c>
      <c r="X24" s="42">
        <v>1809</v>
      </c>
      <c r="Y24" s="42">
        <v>2369</v>
      </c>
      <c r="Z24" s="42">
        <v>783</v>
      </c>
      <c r="AA24" s="43">
        <f t="shared" si="20"/>
        <v>6.8335965370981333E-3</v>
      </c>
      <c r="AB24" s="43">
        <f t="shared" si="5"/>
        <v>6.1747358073236669E-3</v>
      </c>
      <c r="AC24" s="43">
        <f t="shared" si="5"/>
        <v>4.8105039150069849E-3</v>
      </c>
      <c r="AD24" s="43">
        <f t="shared" si="5"/>
        <v>1.4261256010491039E-2</v>
      </c>
      <c r="AE24" s="34">
        <f t="shared" si="21"/>
        <v>3.2080092269919827E-2</v>
      </c>
      <c r="AF24" s="44">
        <f t="shared" si="6"/>
        <v>2.7268078429431852E-2</v>
      </c>
      <c r="AG24" s="34">
        <f t="shared" si="7"/>
        <v>0.71796436650217865</v>
      </c>
      <c r="AH24" s="34">
        <f t="shared" si="8"/>
        <v>0</v>
      </c>
      <c r="AI24" s="35">
        <f t="shared" si="22"/>
        <v>0</v>
      </c>
      <c r="AJ24" s="35">
        <f t="shared" si="9"/>
        <v>0</v>
      </c>
      <c r="AK24" s="84">
        <f t="shared" si="10"/>
        <v>2.7268078429431852E-2</v>
      </c>
      <c r="AM24" s="47">
        <f t="shared" si="11"/>
        <v>64859558.595862754</v>
      </c>
      <c r="AN24" s="48">
        <f t="shared" si="12"/>
        <v>40678894.794830613</v>
      </c>
      <c r="AO24" s="48">
        <f t="shared" si="13"/>
        <v>38687670.73414281</v>
      </c>
      <c r="AP24" s="48">
        <f t="shared" si="23"/>
        <v>144226124.12483618</v>
      </c>
      <c r="AQ24" s="49">
        <f t="shared" si="24"/>
        <v>2.5413582606423509E-2</v>
      </c>
    </row>
    <row r="25" spans="1:43" ht="14.25" x14ac:dyDescent="0.2">
      <c r="A25" s="2" t="s">
        <v>19</v>
      </c>
      <c r="B25" s="36">
        <v>4638826</v>
      </c>
      <c r="C25" s="36">
        <v>945887</v>
      </c>
      <c r="D25" s="45">
        <f t="shared" si="0"/>
        <v>0.20390654876902042</v>
      </c>
      <c r="E25" s="46">
        <f t="shared" si="14"/>
        <v>192872.55369548243</v>
      </c>
      <c r="F25" s="84">
        <f t="shared" si="1"/>
        <v>1.6963668784972325E-4</v>
      </c>
      <c r="G25" s="160">
        <v>5527</v>
      </c>
      <c r="H25" s="81">
        <f t="shared" si="2"/>
        <v>1.1877188963562151E-3</v>
      </c>
      <c r="I25" s="35">
        <f t="shared" si="15"/>
        <v>1.0095610619027828E-3</v>
      </c>
      <c r="J25" s="36">
        <v>1894.8</v>
      </c>
      <c r="K25" s="78">
        <f t="shared" si="3"/>
        <v>2.9504762836082252E-2</v>
      </c>
      <c r="L25" s="37">
        <f t="shared" si="16"/>
        <v>4.425714425412338E-3</v>
      </c>
      <c r="M25" s="84">
        <f t="shared" si="17"/>
        <v>5.4352754873151204E-3</v>
      </c>
      <c r="N25" s="38">
        <v>814</v>
      </c>
      <c r="O25" s="39">
        <v>270</v>
      </c>
      <c r="P25" s="39">
        <v>1738</v>
      </c>
      <c r="Q25" s="39">
        <v>531</v>
      </c>
      <c r="R25" s="40">
        <f t="shared" si="18"/>
        <v>4.760111435729139E-4</v>
      </c>
      <c r="S25" s="40">
        <f t="shared" si="18"/>
        <v>7.6736809795027456E-4</v>
      </c>
      <c r="T25" s="40">
        <f t="shared" si="18"/>
        <v>1.3005166148854527E-3</v>
      </c>
      <c r="U25" s="40">
        <f t="shared" si="18"/>
        <v>3.3914109802518971E-3</v>
      </c>
      <c r="V25" s="41">
        <f t="shared" si="19"/>
        <v>5.9353068366605382E-3</v>
      </c>
      <c r="W25" s="42">
        <v>320.00000000721394</v>
      </c>
      <c r="X25" s="42">
        <v>216</v>
      </c>
      <c r="Y25" s="42">
        <v>671</v>
      </c>
      <c r="Z25" s="42">
        <v>199</v>
      </c>
      <c r="AA25" s="43">
        <f t="shared" si="20"/>
        <v>2.5166887926512352E-4</v>
      </c>
      <c r="AB25" s="43">
        <f t="shared" si="5"/>
        <v>7.372818874416319E-4</v>
      </c>
      <c r="AC25" s="43">
        <f t="shared" si="5"/>
        <v>1.3625361447740343E-3</v>
      </c>
      <c r="AD25" s="43">
        <f t="shared" si="5"/>
        <v>3.6245082325513625E-3</v>
      </c>
      <c r="AE25" s="34">
        <f t="shared" si="21"/>
        <v>5.9759951440321521E-3</v>
      </c>
      <c r="AF25" s="44">
        <f t="shared" si="6"/>
        <v>5.0795958724273293E-3</v>
      </c>
      <c r="AG25" s="34">
        <f t="shared" si="7"/>
        <v>6.8552997328284624E-3</v>
      </c>
      <c r="AH25" s="34">
        <f t="shared" si="8"/>
        <v>0</v>
      </c>
      <c r="AI25" s="35">
        <f t="shared" si="22"/>
        <v>0</v>
      </c>
      <c r="AJ25" s="35">
        <f t="shared" si="9"/>
        <v>0</v>
      </c>
      <c r="AK25" s="84">
        <f t="shared" si="10"/>
        <v>5.0795958724273293E-3</v>
      </c>
      <c r="AM25" s="47">
        <f t="shared" si="11"/>
        <v>481357.59481145069</v>
      </c>
      <c r="AN25" s="48">
        <f t="shared" si="12"/>
        <v>7711513.2607085686</v>
      </c>
      <c r="AO25" s="48">
        <f t="shared" si="13"/>
        <v>7206878.6615659585</v>
      </c>
      <c r="AP25" s="48">
        <f t="shared" si="23"/>
        <v>15399749.517085977</v>
      </c>
      <c r="AQ25" s="49">
        <f t="shared" si="24"/>
        <v>2.7135361838604741E-3</v>
      </c>
    </row>
    <row r="26" spans="1:43" ht="14.25" x14ac:dyDescent="0.2">
      <c r="A26" s="2" t="s">
        <v>20</v>
      </c>
      <c r="B26" s="36">
        <v>251259203</v>
      </c>
      <c r="C26" s="36">
        <v>100887430</v>
      </c>
      <c r="D26" s="45">
        <f t="shared" si="0"/>
        <v>0.4015273024646186</v>
      </c>
      <c r="E26" s="46">
        <f t="shared" si="14"/>
        <v>40509057.620488033</v>
      </c>
      <c r="F26" s="84">
        <f t="shared" si="1"/>
        <v>3.5628824480142388E-2</v>
      </c>
      <c r="G26" s="160">
        <v>357937</v>
      </c>
      <c r="H26" s="81">
        <f t="shared" si="2"/>
        <v>7.6918498028777746E-2</v>
      </c>
      <c r="I26" s="35">
        <f t="shared" si="15"/>
        <v>6.5380723324461085E-2</v>
      </c>
      <c r="J26" s="36">
        <v>151.27000000000001</v>
      </c>
      <c r="K26" s="78">
        <f t="shared" si="3"/>
        <v>2.3554915950043079E-3</v>
      </c>
      <c r="L26" s="37">
        <f t="shared" si="16"/>
        <v>3.5332373925064616E-4</v>
      </c>
      <c r="M26" s="84">
        <f t="shared" si="17"/>
        <v>6.5734047063711734E-2</v>
      </c>
      <c r="N26" s="38">
        <v>25525</v>
      </c>
      <c r="O26" s="39">
        <v>4815</v>
      </c>
      <c r="P26" s="39">
        <v>33044</v>
      </c>
      <c r="Q26" s="39">
        <v>5258</v>
      </c>
      <c r="R26" s="40">
        <f t="shared" si="18"/>
        <v>1.4926516510686275E-2</v>
      </c>
      <c r="S26" s="40">
        <f t="shared" si="18"/>
        <v>1.3684731080113229E-2</v>
      </c>
      <c r="T26" s="40">
        <f t="shared" si="18"/>
        <v>2.4726277918455063E-2</v>
      </c>
      <c r="U26" s="40">
        <f t="shared" si="18"/>
        <v>3.3581994226298442E-2</v>
      </c>
      <c r="V26" s="41">
        <f t="shared" si="19"/>
        <v>8.6919519735553008E-2</v>
      </c>
      <c r="W26" s="42">
        <v>20136.00000070727</v>
      </c>
      <c r="X26" s="42">
        <v>4791</v>
      </c>
      <c r="Y26" s="42">
        <v>5994</v>
      </c>
      <c r="Z26" s="42">
        <v>875</v>
      </c>
      <c r="AA26" s="43">
        <f t="shared" si="20"/>
        <v>1.5836264227957138E-2</v>
      </c>
      <c r="AB26" s="43">
        <f t="shared" si="5"/>
        <v>1.6353321864503972E-2</v>
      </c>
      <c r="AC26" s="43">
        <f t="shared" si="5"/>
        <v>1.2171448065239286E-2</v>
      </c>
      <c r="AD26" s="43">
        <f t="shared" si="5"/>
        <v>1.5936908057700715E-2</v>
      </c>
      <c r="AE26" s="34">
        <f t="shared" si="21"/>
        <v>6.0297942215401121E-2</v>
      </c>
      <c r="AF26" s="44">
        <f t="shared" si="6"/>
        <v>5.1253250883090955E-2</v>
      </c>
      <c r="AG26" s="34">
        <f t="shared" si="7"/>
        <v>-0.30627847002774872</v>
      </c>
      <c r="AH26" s="34">
        <f t="shared" si="8"/>
        <v>-0.30627847002774872</v>
      </c>
      <c r="AI26" s="35">
        <f t="shared" si="22"/>
        <v>5.7072059505151061E-2</v>
      </c>
      <c r="AJ26" s="35">
        <f t="shared" si="9"/>
        <v>8.5608089257726595E-3</v>
      </c>
      <c r="AK26" s="84">
        <f t="shared" si="10"/>
        <v>5.9814059808863618E-2</v>
      </c>
      <c r="AM26" s="47">
        <f t="shared" si="11"/>
        <v>101099623.40760624</v>
      </c>
      <c r="AN26" s="48">
        <f t="shared" si="12"/>
        <v>93262793.540986374</v>
      </c>
      <c r="AO26" s="48">
        <f t="shared" si="13"/>
        <v>84863576.182909489</v>
      </c>
      <c r="AP26" s="48">
        <f t="shared" si="23"/>
        <v>279225993.13150209</v>
      </c>
      <c r="AQ26" s="49">
        <f t="shared" si="24"/>
        <v>4.9201438958215028E-2</v>
      </c>
    </row>
    <row r="27" spans="1:43" ht="14.25" x14ac:dyDescent="0.2">
      <c r="A27" s="2" t="s">
        <v>21</v>
      </c>
      <c r="B27" s="36">
        <v>11154426</v>
      </c>
      <c r="C27" s="36">
        <v>3532121</v>
      </c>
      <c r="D27" s="45">
        <f t="shared" si="0"/>
        <v>0.31665645547336996</v>
      </c>
      <c r="E27" s="46">
        <f t="shared" si="14"/>
        <v>1118468.916163055</v>
      </c>
      <c r="F27" s="84">
        <f t="shared" si="1"/>
        <v>9.8372401238763958E-4</v>
      </c>
      <c r="G27" s="160">
        <v>14437</v>
      </c>
      <c r="H27" s="81">
        <f t="shared" si="2"/>
        <v>3.1024240468056226E-3</v>
      </c>
      <c r="I27" s="35">
        <f t="shared" si="15"/>
        <v>2.637060439784779E-3</v>
      </c>
      <c r="J27" s="36">
        <v>2479.16</v>
      </c>
      <c r="K27" s="78">
        <f t="shared" si="3"/>
        <v>3.8604088997625963E-2</v>
      </c>
      <c r="L27" s="37">
        <f t="shared" si="16"/>
        <v>5.7906133496438946E-3</v>
      </c>
      <c r="M27" s="84">
        <f t="shared" si="17"/>
        <v>8.4276737894286736E-3</v>
      </c>
      <c r="N27" s="38">
        <v>3166</v>
      </c>
      <c r="O27" s="39">
        <v>724</v>
      </c>
      <c r="P27" s="39">
        <v>6502</v>
      </c>
      <c r="Q27" s="39">
        <v>971</v>
      </c>
      <c r="R27" s="40">
        <f t="shared" si="18"/>
        <v>1.8514143495722917E-3</v>
      </c>
      <c r="S27" s="40">
        <f t="shared" si="18"/>
        <v>2.0576833441333289E-3</v>
      </c>
      <c r="T27" s="40">
        <f t="shared" si="18"/>
        <v>4.8653389125346454E-3</v>
      </c>
      <c r="U27" s="40">
        <f t="shared" si="18"/>
        <v>6.2016197021178754E-3</v>
      </c>
      <c r="V27" s="41">
        <f t="shared" si="19"/>
        <v>1.4976056308358143E-2</v>
      </c>
      <c r="W27" s="42">
        <v>1684.0000000044001</v>
      </c>
      <c r="X27" s="42">
        <v>572</v>
      </c>
      <c r="Y27" s="42">
        <v>3480</v>
      </c>
      <c r="Z27" s="42">
        <v>459</v>
      </c>
      <c r="AA27" s="43">
        <f t="shared" si="20"/>
        <v>1.3244074771063164E-3</v>
      </c>
      <c r="AB27" s="43">
        <f t="shared" si="5"/>
        <v>1.9524316648917288E-3</v>
      </c>
      <c r="AC27" s="43">
        <f t="shared" si="5"/>
        <v>7.0665063842230095E-3</v>
      </c>
      <c r="AD27" s="43">
        <f t="shared" si="5"/>
        <v>8.3600466268395745E-3</v>
      </c>
      <c r="AE27" s="34">
        <f t="shared" si="21"/>
        <v>1.8703392153060629E-2</v>
      </c>
      <c r="AF27" s="44">
        <f t="shared" si="6"/>
        <v>1.5897883330101534E-2</v>
      </c>
      <c r="AG27" s="34">
        <f t="shared" si="7"/>
        <v>0.24888634016568562</v>
      </c>
      <c r="AH27" s="34">
        <f t="shared" si="8"/>
        <v>0</v>
      </c>
      <c r="AI27" s="35">
        <f t="shared" si="22"/>
        <v>0</v>
      </c>
      <c r="AJ27" s="35">
        <f t="shared" si="9"/>
        <v>0</v>
      </c>
      <c r="AK27" s="84">
        <f t="shared" si="10"/>
        <v>1.5897883330101534E-2</v>
      </c>
      <c r="AM27" s="47">
        <f t="shared" si="11"/>
        <v>2791395.131344852</v>
      </c>
      <c r="AN27" s="48">
        <f t="shared" si="12"/>
        <v>11957097.360709606</v>
      </c>
      <c r="AO27" s="48">
        <f t="shared" si="13"/>
        <v>22555754.239760745</v>
      </c>
      <c r="AP27" s="48">
        <f t="shared" si="23"/>
        <v>37304246.731815204</v>
      </c>
      <c r="AQ27" s="49">
        <f t="shared" si="24"/>
        <v>6.5732512860763722E-3</v>
      </c>
    </row>
    <row r="28" spans="1:43" ht="14.25" x14ac:dyDescent="0.2">
      <c r="A28" s="2" t="s">
        <v>22</v>
      </c>
      <c r="B28" s="36">
        <v>923877</v>
      </c>
      <c r="C28" s="36">
        <v>199978</v>
      </c>
      <c r="D28" s="45">
        <f t="shared" si="0"/>
        <v>0.21645522077073032</v>
      </c>
      <c r="E28" s="46">
        <f t="shared" si="14"/>
        <v>43286.282139289106</v>
      </c>
      <c r="F28" s="84">
        <f t="shared" si="1"/>
        <v>3.807146942758412E-5</v>
      </c>
      <c r="G28" s="160">
        <v>1277</v>
      </c>
      <c r="H28" s="81">
        <f t="shared" si="2"/>
        <v>2.7441958216878717E-4</v>
      </c>
      <c r="I28" s="35">
        <f t="shared" si="15"/>
        <v>2.3325664484346909E-4</v>
      </c>
      <c r="J28" s="36">
        <v>388.05</v>
      </c>
      <c r="K28" s="78">
        <f t="shared" si="3"/>
        <v>6.0424969487765032E-3</v>
      </c>
      <c r="L28" s="37">
        <f t="shared" si="16"/>
        <v>9.0637454231647541E-4</v>
      </c>
      <c r="M28" s="84">
        <f t="shared" si="17"/>
        <v>1.1396311871599446E-3</v>
      </c>
      <c r="N28" s="38">
        <v>248</v>
      </c>
      <c r="O28" s="39">
        <v>63</v>
      </c>
      <c r="P28" s="39">
        <v>357</v>
      </c>
      <c r="Q28" s="39">
        <v>74</v>
      </c>
      <c r="R28" s="40">
        <f t="shared" si="18"/>
        <v>1.4502550811558066E-4</v>
      </c>
      <c r="S28" s="40">
        <f t="shared" si="18"/>
        <v>1.7905255618839739E-4</v>
      </c>
      <c r="T28" s="40">
        <f t="shared" si="18"/>
        <v>2.6713718729235136E-4</v>
      </c>
      <c r="U28" s="40">
        <f t="shared" si="18"/>
        <v>4.7262601231382365E-4</v>
      </c>
      <c r="V28" s="41">
        <f t="shared" si="19"/>
        <v>1.0638412639101531E-3</v>
      </c>
      <c r="W28" s="42">
        <v>138</v>
      </c>
      <c r="X28" s="42">
        <v>45</v>
      </c>
      <c r="Y28" s="42">
        <v>165</v>
      </c>
      <c r="Z28" s="42">
        <v>30</v>
      </c>
      <c r="AA28" s="43">
        <f t="shared" si="20"/>
        <v>1.0853220418063782E-4</v>
      </c>
      <c r="AB28" s="43">
        <f t="shared" si="5"/>
        <v>1.5360039321700664E-4</v>
      </c>
      <c r="AC28" s="43">
        <f t="shared" si="5"/>
        <v>3.3504987166574612E-4</v>
      </c>
      <c r="AD28" s="43">
        <f t="shared" si="5"/>
        <v>5.4640827626402453E-4</v>
      </c>
      <c r="AE28" s="34">
        <f t="shared" si="21"/>
        <v>1.1435907453274151E-3</v>
      </c>
      <c r="AF28" s="44">
        <f t="shared" si="6"/>
        <v>9.7205213352830283E-4</v>
      </c>
      <c r="AG28" s="34">
        <f t="shared" si="7"/>
        <v>7.4963703818126448E-2</v>
      </c>
      <c r="AH28" s="34">
        <f t="shared" si="8"/>
        <v>0</v>
      </c>
      <c r="AI28" s="35">
        <f t="shared" si="22"/>
        <v>0</v>
      </c>
      <c r="AJ28" s="35">
        <f t="shared" si="9"/>
        <v>0</v>
      </c>
      <c r="AK28" s="84">
        <f t="shared" si="10"/>
        <v>9.7205213352830283E-4</v>
      </c>
      <c r="AM28" s="47">
        <f t="shared" si="11"/>
        <v>108030.8227359054</v>
      </c>
      <c r="AN28" s="48">
        <f t="shared" si="12"/>
        <v>1616897.0703713372</v>
      </c>
      <c r="AO28" s="48">
        <f t="shared" si="13"/>
        <v>1379137.623345451</v>
      </c>
      <c r="AP28" s="48">
        <f t="shared" si="23"/>
        <v>3104065.5164526934</v>
      </c>
      <c r="AQ28" s="49">
        <f t="shared" si="24"/>
        <v>5.4695656488585383E-4</v>
      </c>
    </row>
    <row r="29" spans="1:43" ht="14.25" x14ac:dyDescent="0.2">
      <c r="A29" s="2" t="s">
        <v>23</v>
      </c>
      <c r="B29" s="36">
        <v>792098</v>
      </c>
      <c r="C29" s="36">
        <v>170611</v>
      </c>
      <c r="D29" s="45">
        <f t="shared" si="0"/>
        <v>0.21539127734194508</v>
      </c>
      <c r="E29" s="46">
        <f t="shared" si="14"/>
        <v>36748.121218586588</v>
      </c>
      <c r="F29" s="84">
        <f t="shared" si="1"/>
        <v>3.2320978017761255E-5</v>
      </c>
      <c r="G29" s="160">
        <v>5942</v>
      </c>
      <c r="H29" s="81">
        <f t="shared" si="2"/>
        <v>1.2768998882121639E-3</v>
      </c>
      <c r="I29" s="35">
        <f t="shared" si="15"/>
        <v>1.0853649049803393E-3</v>
      </c>
      <c r="J29" s="36">
        <v>1314.52</v>
      </c>
      <c r="K29" s="78">
        <f t="shared" si="3"/>
        <v>2.0468968146129852E-2</v>
      </c>
      <c r="L29" s="37">
        <f t="shared" si="16"/>
        <v>3.0703452219194775E-3</v>
      </c>
      <c r="M29" s="84">
        <f t="shared" si="17"/>
        <v>4.155710126899817E-3</v>
      </c>
      <c r="N29" s="38">
        <v>1391</v>
      </c>
      <c r="O29" s="39">
        <v>407</v>
      </c>
      <c r="P29" s="39">
        <v>3581</v>
      </c>
      <c r="Q29" s="39">
        <v>1264</v>
      </c>
      <c r="R29" s="40">
        <f t="shared" si="18"/>
        <v>8.1342936205150277E-4</v>
      </c>
      <c r="S29" s="40">
        <f t="shared" si="18"/>
        <v>1.1567363550583768E-3</v>
      </c>
      <c r="T29" s="40">
        <f t="shared" si="18"/>
        <v>2.6796029907392442E-3</v>
      </c>
      <c r="U29" s="40">
        <f t="shared" si="18"/>
        <v>8.072963237360448E-3</v>
      </c>
      <c r="V29" s="41">
        <f t="shared" si="19"/>
        <v>1.2722731945209571E-2</v>
      </c>
      <c r="W29" s="42">
        <v>1108.99999999377</v>
      </c>
      <c r="X29" s="42">
        <v>288</v>
      </c>
      <c r="Y29" s="42">
        <v>3319</v>
      </c>
      <c r="Z29" s="42">
        <v>607</v>
      </c>
      <c r="AA29" s="43">
        <f t="shared" si="20"/>
        <v>8.721899596786318E-4</v>
      </c>
      <c r="AB29" s="43">
        <f t="shared" si="5"/>
        <v>9.8304251658884239E-4</v>
      </c>
      <c r="AC29" s="43">
        <f t="shared" si="5"/>
        <v>6.739578933688554E-3</v>
      </c>
      <c r="AD29" s="43">
        <f t="shared" si="5"/>
        <v>1.1055660789742095E-2</v>
      </c>
      <c r="AE29" s="34">
        <f t="shared" si="21"/>
        <v>1.9650472199698121E-2</v>
      </c>
      <c r="AF29" s="44">
        <f t="shared" si="6"/>
        <v>1.6702901369743402E-2</v>
      </c>
      <c r="AG29" s="34">
        <f t="shared" si="7"/>
        <v>0.54451671891877107</v>
      </c>
      <c r="AH29" s="34">
        <f t="shared" si="8"/>
        <v>0</v>
      </c>
      <c r="AI29" s="35">
        <f t="shared" si="22"/>
        <v>0</v>
      </c>
      <c r="AJ29" s="35">
        <f t="shared" si="9"/>
        <v>0</v>
      </c>
      <c r="AK29" s="84">
        <f t="shared" si="10"/>
        <v>1.6702901369743402E-2</v>
      </c>
      <c r="AM29" s="47">
        <f t="shared" si="11"/>
        <v>91713.345961845887</v>
      </c>
      <c r="AN29" s="48">
        <f t="shared" si="12"/>
        <v>5896079.0167931467</v>
      </c>
      <c r="AO29" s="48">
        <f t="shared" si="13"/>
        <v>23697905.599392086</v>
      </c>
      <c r="AP29" s="48">
        <f t="shared" si="23"/>
        <v>29685697.962147079</v>
      </c>
      <c r="AQ29" s="49">
        <f t="shared" si="24"/>
        <v>5.2308133631696853E-3</v>
      </c>
    </row>
    <row r="30" spans="1:43" ht="14.25" x14ac:dyDescent="0.2">
      <c r="A30" s="2" t="s">
        <v>24</v>
      </c>
      <c r="B30" s="36">
        <v>56111697</v>
      </c>
      <c r="C30" s="36">
        <v>4256091</v>
      </c>
      <c r="D30" s="45">
        <f t="shared" si="0"/>
        <v>7.5850334735019689E-2</v>
      </c>
      <c r="E30" s="46">
        <f t="shared" si="14"/>
        <v>322825.92701270466</v>
      </c>
      <c r="F30" s="84">
        <f t="shared" si="1"/>
        <v>2.8393423512665616E-4</v>
      </c>
      <c r="G30" s="160">
        <v>55213</v>
      </c>
      <c r="H30" s="81">
        <f t="shared" si="2"/>
        <v>1.1864940008054225E-2</v>
      </c>
      <c r="I30" s="35">
        <f t="shared" si="15"/>
        <v>1.0085199006846091E-2</v>
      </c>
      <c r="J30" s="36">
        <v>184.87</v>
      </c>
      <c r="K30" s="78">
        <f t="shared" si="3"/>
        <v>2.8786919492856905E-3</v>
      </c>
      <c r="L30" s="37">
        <f t="shared" si="16"/>
        <v>4.3180379239285356E-4</v>
      </c>
      <c r="M30" s="84">
        <f t="shared" si="17"/>
        <v>1.0517002799238945E-2</v>
      </c>
      <c r="N30" s="38">
        <v>870</v>
      </c>
      <c r="O30" s="39">
        <v>295</v>
      </c>
      <c r="P30" s="39">
        <v>1873</v>
      </c>
      <c r="Q30" s="39">
        <v>57</v>
      </c>
      <c r="R30" s="40">
        <f t="shared" si="18"/>
        <v>5.0875883895385148E-4</v>
      </c>
      <c r="S30" s="40">
        <f t="shared" si="18"/>
        <v>8.3842069961233702E-4</v>
      </c>
      <c r="T30" s="40">
        <f t="shared" si="18"/>
        <v>1.4015348789876024E-3</v>
      </c>
      <c r="U30" s="40">
        <f t="shared" si="18"/>
        <v>3.6404976624172905E-4</v>
      </c>
      <c r="V30" s="41">
        <f t="shared" si="19"/>
        <v>3.1127641837955201E-3</v>
      </c>
      <c r="W30" s="42">
        <v>2629.9999999954803</v>
      </c>
      <c r="X30" s="42">
        <v>513</v>
      </c>
      <c r="Y30" s="42">
        <v>350</v>
      </c>
      <c r="Z30" s="42">
        <v>123</v>
      </c>
      <c r="AA30" s="43">
        <f t="shared" si="20"/>
        <v>2.0684036014100501E-3</v>
      </c>
      <c r="AB30" s="43">
        <f t="shared" si="5"/>
        <v>1.7510444826738757E-3</v>
      </c>
      <c r="AC30" s="43">
        <f t="shared" si="5"/>
        <v>7.1071184898794629E-4</v>
      </c>
      <c r="AD30" s="43">
        <f t="shared" si="5"/>
        <v>2.2402739326825003E-3</v>
      </c>
      <c r="AE30" s="34">
        <f t="shared" si="21"/>
        <v>6.770433865754372E-3</v>
      </c>
      <c r="AF30" s="44">
        <f t="shared" si="6"/>
        <v>5.7548687858912165E-3</v>
      </c>
      <c r="AG30" s="34">
        <f t="shared" si="7"/>
        <v>1.1750551811794834</v>
      </c>
      <c r="AH30" s="34">
        <f t="shared" si="8"/>
        <v>0</v>
      </c>
      <c r="AI30" s="35">
        <f t="shared" si="22"/>
        <v>0</v>
      </c>
      <c r="AJ30" s="35">
        <f t="shared" si="9"/>
        <v>0</v>
      </c>
      <c r="AK30" s="84">
        <f t="shared" si="10"/>
        <v>5.7548687858912165E-3</v>
      </c>
      <c r="AM30" s="47">
        <f t="shared" si="11"/>
        <v>805685.97652809625</v>
      </c>
      <c r="AN30" s="48">
        <f t="shared" si="12"/>
        <v>14921415.986828381</v>
      </c>
      <c r="AO30" s="48">
        <f t="shared" si="13"/>
        <v>8164948.9634167263</v>
      </c>
      <c r="AP30" s="48">
        <f t="shared" si="23"/>
        <v>23892050.926773205</v>
      </c>
      <c r="AQ30" s="49">
        <f t="shared" si="24"/>
        <v>4.2099350138458686E-3</v>
      </c>
    </row>
    <row r="31" spans="1:43" ht="14.25" x14ac:dyDescent="0.2">
      <c r="A31" s="2" t="s">
        <v>25</v>
      </c>
      <c r="B31" s="36">
        <v>398453314</v>
      </c>
      <c r="C31" s="36">
        <v>168647682.93000001</v>
      </c>
      <c r="D31" s="45">
        <f t="shared" si="0"/>
        <v>0.42325581694120384</v>
      </c>
      <c r="E31" s="46">
        <f t="shared" si="14"/>
        <v>71381112.813778266</v>
      </c>
      <c r="F31" s="84">
        <f t="shared" si="1"/>
        <v>6.2781641663099963E-2</v>
      </c>
      <c r="G31" s="160">
        <v>678006</v>
      </c>
      <c r="H31" s="81">
        <f t="shared" si="2"/>
        <v>0.14569939172116736</v>
      </c>
      <c r="I31" s="35">
        <f t="shared" si="15"/>
        <v>0.12384448296299225</v>
      </c>
      <c r="J31" s="36">
        <v>117.79</v>
      </c>
      <c r="K31" s="78">
        <f t="shared" si="3"/>
        <v>1.8341598134167874E-3</v>
      </c>
      <c r="L31" s="37">
        <f t="shared" si="16"/>
        <v>2.7512397201251811E-4</v>
      </c>
      <c r="M31" s="84">
        <f t="shared" si="17"/>
        <v>0.12411960693500476</v>
      </c>
      <c r="N31" s="38">
        <v>69698</v>
      </c>
      <c r="O31" s="39">
        <v>12447</v>
      </c>
      <c r="P31" s="39">
        <v>14729</v>
      </c>
      <c r="Q31" s="39">
        <v>1417</v>
      </c>
      <c r="R31" s="40">
        <f t="shared" si="18"/>
        <v>4.0758015583224762E-2</v>
      </c>
      <c r="S31" s="40">
        <f t="shared" si="18"/>
        <v>3.5375669315507653E-2</v>
      </c>
      <c r="T31" s="40">
        <f t="shared" si="18"/>
        <v>1.1021466755263425E-2</v>
      </c>
      <c r="U31" s="40">
        <f t="shared" si="18"/>
        <v>9.0501494520092984E-3</v>
      </c>
      <c r="V31" s="41">
        <f t="shared" si="19"/>
        <v>9.6205301106005142E-2</v>
      </c>
      <c r="W31" s="42">
        <v>32769.999999791457</v>
      </c>
      <c r="X31" s="42">
        <v>9468</v>
      </c>
      <c r="Y31" s="42">
        <v>3881</v>
      </c>
      <c r="Z31" s="42">
        <v>299</v>
      </c>
      <c r="AA31" s="43">
        <f t="shared" si="20"/>
        <v>2.5772466166499041E-2</v>
      </c>
      <c r="AB31" s="43">
        <f t="shared" si="5"/>
        <v>3.2317522732858199E-2</v>
      </c>
      <c r="AC31" s="43">
        <f t="shared" si="5"/>
        <v>7.8807791026349137E-3</v>
      </c>
      <c r="AD31" s="43">
        <f t="shared" si="5"/>
        <v>5.4458691534314436E-3</v>
      </c>
      <c r="AE31" s="34">
        <f t="shared" si="21"/>
        <v>7.1416637155423596E-2</v>
      </c>
      <c r="AF31" s="44">
        <f t="shared" si="6"/>
        <v>6.0704141582110058E-2</v>
      </c>
      <c r="AG31" s="34">
        <f t="shared" si="7"/>
        <v>-0.25766422084441909</v>
      </c>
      <c r="AH31" s="34">
        <f t="shared" si="8"/>
        <v>-0.25766422084441909</v>
      </c>
      <c r="AI31" s="35">
        <f t="shared" si="22"/>
        <v>4.80132597732017E-2</v>
      </c>
      <c r="AJ31" s="35">
        <f t="shared" si="9"/>
        <v>7.2019889659802544E-3</v>
      </c>
      <c r="AK31" s="84">
        <f t="shared" si="10"/>
        <v>6.7906130548090318E-2</v>
      </c>
      <c r="AM31" s="47">
        <f t="shared" si="11"/>
        <v>178147901.92104936</v>
      </c>
      <c r="AN31" s="48">
        <f t="shared" si="12"/>
        <v>176099628.62545365</v>
      </c>
      <c r="AO31" s="48">
        <f t="shared" si="13"/>
        <v>96344523.369077489</v>
      </c>
      <c r="AP31" s="48">
        <f t="shared" si="23"/>
        <v>450592053.91558051</v>
      </c>
      <c r="AQ31" s="49">
        <f t="shared" si="24"/>
        <v>7.9397255202323755E-2</v>
      </c>
    </row>
    <row r="32" spans="1:43" ht="14.25" x14ac:dyDescent="0.2">
      <c r="A32" s="2" t="s">
        <v>26</v>
      </c>
      <c r="B32" s="36">
        <v>719838</v>
      </c>
      <c r="C32" s="36">
        <v>182717</v>
      </c>
      <c r="D32" s="45">
        <f t="shared" si="0"/>
        <v>0.25383072302379145</v>
      </c>
      <c r="E32" s="46">
        <f t="shared" si="14"/>
        <v>46379.188218738105</v>
      </c>
      <c r="F32" s="84">
        <f t="shared" si="1"/>
        <v>4.079176494446922E-5</v>
      </c>
      <c r="G32" s="160">
        <v>2030</v>
      </c>
      <c r="H32" s="81">
        <f t="shared" si="2"/>
        <v>4.3623473124717146E-4</v>
      </c>
      <c r="I32" s="35">
        <f t="shared" si="15"/>
        <v>3.7079952156009573E-4</v>
      </c>
      <c r="J32" s="36">
        <v>497.27</v>
      </c>
      <c r="K32" s="78">
        <f t="shared" si="3"/>
        <v>7.743209528973307E-3</v>
      </c>
      <c r="L32" s="37">
        <f t="shared" si="16"/>
        <v>1.1614814293459961E-3</v>
      </c>
      <c r="M32" s="84">
        <f t="shared" si="17"/>
        <v>1.5322809509060917E-3</v>
      </c>
      <c r="N32" s="38">
        <v>525</v>
      </c>
      <c r="O32" s="39">
        <v>111</v>
      </c>
      <c r="P32" s="39">
        <v>654</v>
      </c>
      <c r="Q32" s="39">
        <v>69</v>
      </c>
      <c r="R32" s="40">
        <f t="shared" si="18"/>
        <v>3.070096441962897E-4</v>
      </c>
      <c r="S32" s="40">
        <f t="shared" si="18"/>
        <v>3.1547355137955733E-4</v>
      </c>
      <c r="T32" s="40">
        <f t="shared" si="18"/>
        <v>4.8937736831708065E-4</v>
      </c>
      <c r="U32" s="40">
        <f t="shared" si="18"/>
        <v>4.4069182229261936E-4</v>
      </c>
      <c r="V32" s="41">
        <f t="shared" si="19"/>
        <v>1.5525523861855471E-3</v>
      </c>
      <c r="W32" s="42">
        <v>374.99999999594002</v>
      </c>
      <c r="X32" s="42">
        <v>98</v>
      </c>
      <c r="Y32" s="42">
        <v>163</v>
      </c>
      <c r="Z32" s="42">
        <v>24</v>
      </c>
      <c r="AA32" s="43">
        <f t="shared" si="20"/>
        <v>2.9492446787897499E-4</v>
      </c>
      <c r="AB32" s="43">
        <f t="shared" si="5"/>
        <v>3.3450752300592557E-4</v>
      </c>
      <c r="AC32" s="43">
        <f t="shared" si="5"/>
        <v>3.3098866110010071E-4</v>
      </c>
      <c r="AD32" s="43">
        <f t="shared" si="5"/>
        <v>4.3712662101121958E-4</v>
      </c>
      <c r="AE32" s="34">
        <f t="shared" si="21"/>
        <v>1.397547272996221E-3</v>
      </c>
      <c r="AF32" s="44">
        <f t="shared" si="6"/>
        <v>1.1879151820467877E-3</v>
      </c>
      <c r="AG32" s="34">
        <f t="shared" si="7"/>
        <v>-9.983889404862975E-2</v>
      </c>
      <c r="AH32" s="34">
        <f t="shared" si="8"/>
        <v>-9.983889404862975E-2</v>
      </c>
      <c r="AI32" s="35">
        <f t="shared" si="22"/>
        <v>1.8604021698148197E-2</v>
      </c>
      <c r="AJ32" s="35">
        <f t="shared" si="9"/>
        <v>2.7906032547222294E-3</v>
      </c>
      <c r="AK32" s="84">
        <f t="shared" si="10"/>
        <v>3.9785184367690171E-3</v>
      </c>
      <c r="AM32" s="47">
        <f t="shared" si="11"/>
        <v>115749.87763954852</v>
      </c>
      <c r="AN32" s="48">
        <f t="shared" si="12"/>
        <v>2173984.5385243478</v>
      </c>
      <c r="AO32" s="48">
        <f t="shared" si="13"/>
        <v>5644681.2594356807</v>
      </c>
      <c r="AP32" s="48">
        <f t="shared" si="23"/>
        <v>7934415.6755995769</v>
      </c>
      <c r="AQ32" s="49">
        <f t="shared" si="24"/>
        <v>1.3980957293910118E-3</v>
      </c>
    </row>
    <row r="33" spans="1:43" ht="14.25" x14ac:dyDescent="0.2">
      <c r="A33" s="2" t="s">
        <v>27</v>
      </c>
      <c r="B33" s="36">
        <v>1892182</v>
      </c>
      <c r="C33" s="36">
        <v>525469</v>
      </c>
      <c r="D33" s="45">
        <f t="shared" si="0"/>
        <v>0.27770531587342023</v>
      </c>
      <c r="E33" s="46">
        <f t="shared" si="14"/>
        <v>145925.53462669026</v>
      </c>
      <c r="F33" s="84">
        <f t="shared" si="1"/>
        <v>1.2834550013712836E-4</v>
      </c>
      <c r="G33" s="160">
        <v>16604</v>
      </c>
      <c r="H33" s="81">
        <f t="shared" si="2"/>
        <v>3.5680992500630713E-3</v>
      </c>
      <c r="I33" s="35">
        <f t="shared" si="15"/>
        <v>3.0328843625536104E-3</v>
      </c>
      <c r="J33" s="36">
        <v>170.12</v>
      </c>
      <c r="K33" s="78">
        <f t="shared" si="3"/>
        <v>2.6490132223318096E-3</v>
      </c>
      <c r="L33" s="37">
        <f t="shared" si="16"/>
        <v>3.9735198334977145E-4</v>
      </c>
      <c r="M33" s="84">
        <f t="shared" si="17"/>
        <v>3.430236345903382E-3</v>
      </c>
      <c r="N33" s="38">
        <v>1777</v>
      </c>
      <c r="O33" s="39">
        <v>482</v>
      </c>
      <c r="P33" s="39">
        <v>1571</v>
      </c>
      <c r="Q33" s="39">
        <v>193</v>
      </c>
      <c r="R33" s="40">
        <f t="shared" si="18"/>
        <v>1.0391545480701082E-3</v>
      </c>
      <c r="S33" s="40">
        <f t="shared" si="18"/>
        <v>1.3698941600445642E-3</v>
      </c>
      <c r="T33" s="40">
        <f t="shared" si="18"/>
        <v>1.1755532807739047E-3</v>
      </c>
      <c r="U33" s="40">
        <f t="shared" si="18"/>
        <v>1.2326597348184861E-3</v>
      </c>
      <c r="V33" s="41">
        <f t="shared" si="19"/>
        <v>4.8172617237070628E-3</v>
      </c>
      <c r="W33" s="42">
        <v>887.9999999826681</v>
      </c>
      <c r="X33" s="42">
        <v>349</v>
      </c>
      <c r="Y33" s="42">
        <v>145</v>
      </c>
      <c r="Z33" s="42">
        <v>79</v>
      </c>
      <c r="AA33" s="43">
        <f t="shared" si="20"/>
        <v>6.9838113993134286E-4</v>
      </c>
      <c r="AB33" s="43">
        <f t="shared" si="5"/>
        <v>1.1912563829496736E-3</v>
      </c>
      <c r="AC33" s="43">
        <f t="shared" si="5"/>
        <v>2.9443776600929206E-4</v>
      </c>
      <c r="AD33" s="43">
        <f t="shared" si="5"/>
        <v>1.4388751274952644E-3</v>
      </c>
      <c r="AE33" s="34">
        <f t="shared" si="21"/>
        <v>3.6229504163855729E-3</v>
      </c>
      <c r="AF33" s="44">
        <f t="shared" si="6"/>
        <v>3.0795078539277371E-3</v>
      </c>
      <c r="AG33" s="34">
        <f t="shared" si="7"/>
        <v>-0.24792327588180588</v>
      </c>
      <c r="AH33" s="34">
        <f t="shared" si="8"/>
        <v>-0.24792327588180588</v>
      </c>
      <c r="AI33" s="35">
        <f t="shared" si="22"/>
        <v>4.6198127973397771E-2</v>
      </c>
      <c r="AJ33" s="35">
        <f t="shared" si="9"/>
        <v>6.9297191960096651E-3</v>
      </c>
      <c r="AK33" s="84">
        <f t="shared" si="10"/>
        <v>1.0009227049937402E-2</v>
      </c>
      <c r="AM33" s="47">
        <f t="shared" si="11"/>
        <v>364190.56534285907</v>
      </c>
      <c r="AN33" s="48">
        <f t="shared" si="12"/>
        <v>4866784.2376219947</v>
      </c>
      <c r="AO33" s="48">
        <f t="shared" si="13"/>
        <v>14200988.948062157</v>
      </c>
      <c r="AP33" s="48">
        <f t="shared" si="23"/>
        <v>19431963.75102701</v>
      </c>
      <c r="AQ33" s="49">
        <f t="shared" si="24"/>
        <v>3.4240385990287601E-3</v>
      </c>
    </row>
    <row r="34" spans="1:43" ht="14.25" x14ac:dyDescent="0.2">
      <c r="A34" s="2" t="s">
        <v>28</v>
      </c>
      <c r="B34" s="36">
        <v>629204</v>
      </c>
      <c r="C34" s="36">
        <v>271165</v>
      </c>
      <c r="D34" s="45">
        <f t="shared" si="0"/>
        <v>0.43096515597485074</v>
      </c>
      <c r="E34" s="46">
        <f t="shared" si="14"/>
        <v>116862.6665199204</v>
      </c>
      <c r="F34" s="84">
        <f t="shared" si="1"/>
        <v>1.0278391249501237E-4</v>
      </c>
      <c r="G34" s="160">
        <v>1594</v>
      </c>
      <c r="H34" s="81">
        <f t="shared" si="2"/>
        <v>3.425409663093553E-4</v>
      </c>
      <c r="I34" s="35">
        <f t="shared" si="15"/>
        <v>2.9115982136295197E-4</v>
      </c>
      <c r="J34" s="36">
        <v>444.11</v>
      </c>
      <c r="K34" s="78">
        <f t="shared" si="3"/>
        <v>6.9154318255924057E-3</v>
      </c>
      <c r="L34" s="37">
        <f t="shared" si="16"/>
        <v>1.0373147738388607E-3</v>
      </c>
      <c r="M34" s="84">
        <f t="shared" si="17"/>
        <v>1.3284745952018128E-3</v>
      </c>
      <c r="N34" s="38">
        <v>236</v>
      </c>
      <c r="O34" s="39">
        <v>70</v>
      </c>
      <c r="P34" s="39">
        <v>392</v>
      </c>
      <c r="Q34" s="39">
        <v>106</v>
      </c>
      <c r="R34" s="40">
        <f t="shared" si="18"/>
        <v>1.3800814481966547E-4</v>
      </c>
      <c r="S34" s="40">
        <f t="shared" si="18"/>
        <v>1.9894728465377488E-4</v>
      </c>
      <c r="T34" s="40">
        <f t="shared" si="18"/>
        <v>2.9332710761513091E-4</v>
      </c>
      <c r="U34" s="40">
        <f t="shared" si="18"/>
        <v>6.7700482844953124E-4</v>
      </c>
      <c r="V34" s="41">
        <f t="shared" si="19"/>
        <v>1.3072873655381025E-3</v>
      </c>
      <c r="W34" s="42">
        <v>156.00000000186</v>
      </c>
      <c r="X34" s="42">
        <v>60</v>
      </c>
      <c r="Y34" s="42">
        <v>117</v>
      </c>
      <c r="Z34" s="42">
        <v>25</v>
      </c>
      <c r="AA34" s="43">
        <f t="shared" si="20"/>
        <v>1.2268857864044472E-4</v>
      </c>
      <c r="AB34" s="43">
        <f t="shared" si="5"/>
        <v>2.0480052428934218E-4</v>
      </c>
      <c r="AC34" s="43">
        <f t="shared" si="5"/>
        <v>2.3758081809025633E-4</v>
      </c>
      <c r="AD34" s="43">
        <f t="shared" si="5"/>
        <v>4.5534023022002039E-4</v>
      </c>
      <c r="AE34" s="34">
        <f t="shared" si="21"/>
        <v>1.0204101512400637E-3</v>
      </c>
      <c r="AF34" s="44">
        <f t="shared" si="6"/>
        <v>8.6734862855405406E-4</v>
      </c>
      <c r="AG34" s="34">
        <f t="shared" si="7"/>
        <v>-0.21944464687758616</v>
      </c>
      <c r="AH34" s="34">
        <f t="shared" si="8"/>
        <v>-0.21944464687758616</v>
      </c>
      <c r="AI34" s="35">
        <f t="shared" si="22"/>
        <v>4.0891408212760681E-2</v>
      </c>
      <c r="AJ34" s="35">
        <f t="shared" si="9"/>
        <v>6.1337112319141017E-3</v>
      </c>
      <c r="AK34" s="84">
        <f t="shared" si="10"/>
        <v>7.0010598604681555E-3</v>
      </c>
      <c r="AM34" s="47">
        <f t="shared" si="11"/>
        <v>291657.5272192246</v>
      </c>
      <c r="AN34" s="48">
        <f t="shared" si="12"/>
        <v>1884826.165908613</v>
      </c>
      <c r="AO34" s="48">
        <f t="shared" si="13"/>
        <v>9933032.1119902711</v>
      </c>
      <c r="AP34" s="48">
        <f t="shared" si="23"/>
        <v>12109515.805118108</v>
      </c>
      <c r="AQ34" s="49">
        <f t="shared" si="24"/>
        <v>2.1337755701649982E-3</v>
      </c>
    </row>
    <row r="35" spans="1:43" ht="14.25" x14ac:dyDescent="0.2">
      <c r="A35" s="2" t="s">
        <v>29</v>
      </c>
      <c r="B35" s="36">
        <v>1525497</v>
      </c>
      <c r="C35" s="36">
        <v>437587</v>
      </c>
      <c r="D35" s="45">
        <f t="shared" si="0"/>
        <v>0.2868488105843538</v>
      </c>
      <c r="E35" s="46">
        <f t="shared" si="14"/>
        <v>125521.31047717562</v>
      </c>
      <c r="F35" s="84">
        <f t="shared" si="1"/>
        <v>1.1039942675059616E-4</v>
      </c>
      <c r="G35" s="160">
        <v>6914</v>
      </c>
      <c r="H35" s="81">
        <f t="shared" si="2"/>
        <v>1.4857768137157357E-3</v>
      </c>
      <c r="I35" s="35">
        <f t="shared" si="15"/>
        <v>1.2629102916583753E-3</v>
      </c>
      <c r="J35" s="36">
        <v>127.8</v>
      </c>
      <c r="K35" s="78">
        <f t="shared" si="3"/>
        <v>1.990029918963116E-3</v>
      </c>
      <c r="L35" s="37">
        <f t="shared" si="16"/>
        <v>2.9850448784446741E-4</v>
      </c>
      <c r="M35" s="84">
        <f t="shared" si="17"/>
        <v>1.5614147795028426E-3</v>
      </c>
      <c r="N35" s="38">
        <v>1201</v>
      </c>
      <c r="O35" s="39">
        <v>234</v>
      </c>
      <c r="P35" s="39">
        <v>2745</v>
      </c>
      <c r="Q35" s="39">
        <v>176</v>
      </c>
      <c r="R35" s="40">
        <f t="shared" si="18"/>
        <v>7.0232110986617887E-4</v>
      </c>
      <c r="S35" s="40">
        <f t="shared" si="18"/>
        <v>6.6505235155690464E-4</v>
      </c>
      <c r="T35" s="40">
        <f t="shared" si="18"/>
        <v>2.0540380367437099E-3</v>
      </c>
      <c r="U35" s="40">
        <f t="shared" si="18"/>
        <v>1.1240834887463913E-3</v>
      </c>
      <c r="V35" s="41">
        <f t="shared" si="19"/>
        <v>4.5454949869131846E-3</v>
      </c>
      <c r="W35" s="42">
        <v>649.99999999475995</v>
      </c>
      <c r="X35" s="42">
        <v>185</v>
      </c>
      <c r="Y35" s="42">
        <v>941</v>
      </c>
      <c r="Z35" s="42">
        <v>42</v>
      </c>
      <c r="AA35" s="43">
        <f t="shared" si="20"/>
        <v>5.1120241099163676E-4</v>
      </c>
      <c r="AB35" s="43">
        <f t="shared" si="5"/>
        <v>6.3146828322547177E-4</v>
      </c>
      <c r="AC35" s="43">
        <f t="shared" si="5"/>
        <v>1.9107995711361643E-3</v>
      </c>
      <c r="AD35" s="43">
        <f t="shared" si="5"/>
        <v>7.6497158676963432E-4</v>
      </c>
      <c r="AE35" s="34">
        <f t="shared" si="21"/>
        <v>3.8184418521229071E-3</v>
      </c>
      <c r="AF35" s="44">
        <f t="shared" si="6"/>
        <v>3.2456755743044711E-3</v>
      </c>
      <c r="AG35" s="34">
        <f t="shared" si="7"/>
        <v>-0.15995026655700142</v>
      </c>
      <c r="AH35" s="34">
        <f t="shared" si="8"/>
        <v>-0.15995026655700142</v>
      </c>
      <c r="AI35" s="35">
        <f t="shared" si="22"/>
        <v>2.9805200247927655E-2</v>
      </c>
      <c r="AJ35" s="35">
        <f t="shared" si="9"/>
        <v>4.4707800371891482E-3</v>
      </c>
      <c r="AK35" s="84">
        <f t="shared" si="10"/>
        <v>7.7164556114936193E-3</v>
      </c>
      <c r="AM35" s="47">
        <f t="shared" si="11"/>
        <v>313267.1546635399</v>
      </c>
      <c r="AN35" s="48">
        <f t="shared" si="12"/>
        <v>2215319.3165100049</v>
      </c>
      <c r="AO35" s="48">
        <f t="shared" si="13"/>
        <v>10948028.285332825</v>
      </c>
      <c r="AP35" s="48">
        <f t="shared" si="23"/>
        <v>13476614.75650637</v>
      </c>
      <c r="AQ35" s="49">
        <f t="shared" si="24"/>
        <v>2.3746673111244136E-3</v>
      </c>
    </row>
    <row r="36" spans="1:43" ht="14.25" x14ac:dyDescent="0.2">
      <c r="A36" s="2" t="s">
        <v>30</v>
      </c>
      <c r="B36" s="36">
        <v>411123</v>
      </c>
      <c r="C36" s="36">
        <v>82091</v>
      </c>
      <c r="D36" s="45">
        <f t="shared" si="0"/>
        <v>0.19967503642462231</v>
      </c>
      <c r="E36" s="46">
        <f t="shared" si="14"/>
        <v>16391.52341513367</v>
      </c>
      <c r="F36" s="84">
        <f t="shared" si="1"/>
        <v>1.44167933056179E-5</v>
      </c>
      <c r="G36" s="160">
        <v>3558</v>
      </c>
      <c r="H36" s="81">
        <f t="shared" si="2"/>
        <v>7.6459269644208675E-4</v>
      </c>
      <c r="I36" s="35">
        <f t="shared" si="15"/>
        <v>6.4990379197577377E-4</v>
      </c>
      <c r="J36" s="36">
        <v>561.88</v>
      </c>
      <c r="K36" s="78">
        <f t="shared" si="3"/>
        <v>8.7492802102268827E-3</v>
      </c>
      <c r="L36" s="37">
        <f t="shared" si="16"/>
        <v>1.3123920315340324E-3</v>
      </c>
      <c r="M36" s="84">
        <f t="shared" si="17"/>
        <v>1.9622958235098061E-3</v>
      </c>
      <c r="N36" s="38">
        <v>779</v>
      </c>
      <c r="O36" s="39">
        <v>226</v>
      </c>
      <c r="P36" s="39">
        <v>2400</v>
      </c>
      <c r="Q36" s="39">
        <v>462</v>
      </c>
      <c r="R36" s="40">
        <f t="shared" si="18"/>
        <v>4.5554383395982794E-4</v>
      </c>
      <c r="S36" s="40">
        <f t="shared" si="18"/>
        <v>6.4231551902504459E-4</v>
      </c>
      <c r="T36" s="40">
        <f t="shared" si="18"/>
        <v>1.795880250704883E-3</v>
      </c>
      <c r="U36" s="40">
        <f t="shared" si="18"/>
        <v>2.9507191579592777E-3</v>
      </c>
      <c r="V36" s="41">
        <f t="shared" si="19"/>
        <v>5.8444587616490332E-3</v>
      </c>
      <c r="W36" s="42">
        <v>671.99999999645991</v>
      </c>
      <c r="X36" s="42">
        <v>188</v>
      </c>
      <c r="Y36" s="42">
        <v>1437</v>
      </c>
      <c r="Z36" s="42">
        <v>355</v>
      </c>
      <c r="AA36" s="43">
        <f t="shared" si="20"/>
        <v>5.2850464644206086E-4</v>
      </c>
      <c r="AB36" s="43">
        <f t="shared" si="5"/>
        <v>6.4170830943993879E-4</v>
      </c>
      <c r="AC36" s="43">
        <f t="shared" si="5"/>
        <v>2.9179797914162253E-3</v>
      </c>
      <c r="AD36" s="43">
        <f t="shared" si="5"/>
        <v>6.4658312691242897E-3</v>
      </c>
      <c r="AE36" s="34">
        <f t="shared" si="21"/>
        <v>1.0554024016422515E-2</v>
      </c>
      <c r="AF36" s="44">
        <f t="shared" si="6"/>
        <v>8.9709204139591381E-3</v>
      </c>
      <c r="AG36" s="34">
        <f t="shared" si="7"/>
        <v>0.80581717603644487</v>
      </c>
      <c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  <f t="shared" si="10"/>
        <v>8.9709204139591381E-3</v>
      </c>
      <c r="AM36" s="47">
        <f t="shared" si="11"/>
        <v>40908.797727963756</v>
      </c>
      <c r="AN36" s="48">
        <f t="shared" si="12"/>
        <v>2784085.2408943567</v>
      </c>
      <c r="AO36" s="48">
        <f t="shared" si="13"/>
        <v>12727850.114397759</v>
      </c>
      <c r="AP36" s="48">
        <f t="shared" si="23"/>
        <v>15552844.15302008</v>
      </c>
      <c r="AQ36" s="49">
        <f t="shared" si="24"/>
        <v>2.7405124560200451E-3</v>
      </c>
    </row>
    <row r="37" spans="1:43" ht="14.25" x14ac:dyDescent="0.2">
      <c r="A37" s="2" t="s">
        <v>31</v>
      </c>
      <c r="B37" s="36">
        <v>152108024</v>
      </c>
      <c r="C37" s="36">
        <v>49023503.210000001</v>
      </c>
      <c r="D37" s="45">
        <f t="shared" si="0"/>
        <v>0.32229399817855764</v>
      </c>
      <c r="E37" s="46">
        <f t="shared" si="14"/>
        <v>15799980.854270255</v>
      </c>
      <c r="F37" s="84">
        <f t="shared" si="1"/>
        <v>1.3896515439097571E-2</v>
      </c>
      <c r="G37" s="160">
        <v>256970</v>
      </c>
      <c r="H37" s="81">
        <f t="shared" si="2"/>
        <v>5.5221299945116084E-2</v>
      </c>
      <c r="I37" s="35">
        <f t="shared" si="15"/>
        <v>4.6938104953348672E-2</v>
      </c>
      <c r="J37" s="36">
        <v>247</v>
      </c>
      <c r="K37" s="78">
        <f t="shared" si="3"/>
        <v>3.8461454615327825E-3</v>
      </c>
      <c r="L37" s="37">
        <f t="shared" si="16"/>
        <v>5.769218192299174E-4</v>
      </c>
      <c r="M37" s="84">
        <f t="shared" si="17"/>
        <v>4.7515026772578586E-2</v>
      </c>
      <c r="N37" s="38">
        <v>7826</v>
      </c>
      <c r="O37" s="39">
        <v>1628</v>
      </c>
      <c r="P37" s="39">
        <v>22499</v>
      </c>
      <c r="Q37" s="39">
        <v>705</v>
      </c>
      <c r="R37" s="40">
        <f t="shared" si="18"/>
        <v>4.5764904294860248E-3</v>
      </c>
      <c r="S37" s="40">
        <f t="shared" si="18"/>
        <v>4.6269454202335072E-3</v>
      </c>
      <c r="T37" s="40">
        <f t="shared" si="18"/>
        <v>1.6835629066920484E-2</v>
      </c>
      <c r="U37" s="40">
        <f t="shared" si="18"/>
        <v>4.5027207929898066E-3</v>
      </c>
      <c r="V37" s="41">
        <f t="shared" si="19"/>
        <v>3.0541785709629822E-2</v>
      </c>
      <c r="W37" s="42">
        <v>16068.000000124277</v>
      </c>
      <c r="X37" s="42">
        <v>2619</v>
      </c>
      <c r="Y37" s="42">
        <v>3702</v>
      </c>
      <c r="Z37" s="42">
        <v>260</v>
      </c>
      <c r="AA37" s="43">
        <f t="shared" si="20"/>
        <v>1.2636923599912874E-2</v>
      </c>
      <c r="AB37" s="43">
        <f t="shared" si="5"/>
        <v>8.939542885229787E-3</v>
      </c>
      <c r="AC37" s="43">
        <f t="shared" si="5"/>
        <v>7.5173007570096496E-3</v>
      </c>
      <c r="AD37" s="43">
        <f t="shared" si="5"/>
        <v>4.7355383942882124E-3</v>
      </c>
      <c r="AE37" s="34">
        <f t="shared" si="21"/>
        <v>3.3829305636440522E-2</v>
      </c>
      <c r="AF37" s="44">
        <f t="shared" si="6"/>
        <v>2.8754909790974444E-2</v>
      </c>
      <c r="AG37" s="34">
        <f t="shared" si="7"/>
        <v>0.10764006918476104</v>
      </c>
      <c r="AH37" s="34">
        <f t="shared" si="8"/>
        <v>0</v>
      </c>
      <c r="AI37" s="35">
        <f t="shared" si="22"/>
        <v>0</v>
      </c>
      <c r="AJ37" s="35">
        <f t="shared" si="9"/>
        <v>0</v>
      </c>
      <c r="AK37" s="84">
        <f t="shared" si="10"/>
        <v>2.8754909790974444E-2</v>
      </c>
      <c r="AM37" s="47">
        <f t="shared" si="11"/>
        <v>39432467.8983946</v>
      </c>
      <c r="AN37" s="48">
        <f t="shared" si="12"/>
        <v>67413833.92521663</v>
      </c>
      <c r="AO37" s="48">
        <f t="shared" si="13"/>
        <v>40797171.860209346</v>
      </c>
      <c r="AP37" s="48">
        <f t="shared" si="23"/>
        <v>147643473.68382058</v>
      </c>
      <c r="AQ37" s="49">
        <f t="shared" si="24"/>
        <v>2.6015741860437043E-2</v>
      </c>
    </row>
    <row r="38" spans="1:43" ht="14.25" x14ac:dyDescent="0.2">
      <c r="A38" s="2" t="s">
        <v>32</v>
      </c>
      <c r="B38" s="36">
        <v>2837623</v>
      </c>
      <c r="C38" s="36">
        <v>926066</v>
      </c>
      <c r="D38" s="45">
        <f t="shared" si="0"/>
        <v>0.32635272550300021</v>
      </c>
      <c r="E38" s="46">
        <f t="shared" si="14"/>
        <v>302224.16309566138</v>
      </c>
      <c r="F38" s="84">
        <f t="shared" si="1"/>
        <v>2.6581442011001585E-4</v>
      </c>
      <c r="G38" s="160">
        <v>5349</v>
      </c>
      <c r="H38" s="81">
        <f t="shared" si="2"/>
        <v>1.1494677721384829E-3</v>
      </c>
      <c r="I38" s="35">
        <f t="shared" si="15"/>
        <v>9.7704760631771043E-4</v>
      </c>
      <c r="J38" s="36">
        <v>3428.68</v>
      </c>
      <c r="K38" s="78">
        <f t="shared" si="3"/>
        <v>5.3389481866591988E-2</v>
      </c>
      <c r="L38" s="37">
        <f t="shared" si="16"/>
        <v>8.0084222799887972E-3</v>
      </c>
      <c r="M38" s="84">
        <f t="shared" si="17"/>
        <v>8.9854698863065068E-3</v>
      </c>
      <c r="N38" s="38">
        <v>900</v>
      </c>
      <c r="O38" s="39">
        <v>209</v>
      </c>
      <c r="P38" s="39">
        <v>2198</v>
      </c>
      <c r="Q38" s="39">
        <v>203</v>
      </c>
      <c r="R38" s="40">
        <f t="shared" si="18"/>
        <v>5.2630224719363945E-4</v>
      </c>
      <c r="S38" s="40">
        <f t="shared" si="18"/>
        <v>5.9399974989484219E-4</v>
      </c>
      <c r="T38" s="40">
        <f t="shared" si="18"/>
        <v>1.6447269962705554E-3</v>
      </c>
      <c r="U38" s="40">
        <f t="shared" si="18"/>
        <v>1.2965281148608946E-3</v>
      </c>
      <c r="V38" s="41">
        <f t="shared" si="19"/>
        <v>4.0615571082199316E-3</v>
      </c>
      <c r="W38" s="42">
        <v>711.99999999240003</v>
      </c>
      <c r="X38" s="42">
        <v>170</v>
      </c>
      <c r="Y38" s="42">
        <v>749</v>
      </c>
      <c r="Z38" s="42">
        <v>32</v>
      </c>
      <c r="AA38" s="43">
        <f t="shared" si="20"/>
        <v>5.5996325634629924E-4</v>
      </c>
      <c r="AB38" s="43">
        <f t="shared" si="5"/>
        <v>5.8026815215313622E-4</v>
      </c>
      <c r="AC38" s="43">
        <f t="shared" si="5"/>
        <v>1.5209233568342052E-3</v>
      </c>
      <c r="AD38" s="43">
        <f t="shared" si="5"/>
        <v>5.8283549468162615E-4</v>
      </c>
      <c r="AE38" s="34">
        <f t="shared" si="21"/>
        <v>3.2439902600152671E-3</v>
      </c>
      <c r="AF38" s="44">
        <f t="shared" si="6"/>
        <v>2.7573917210129768E-3</v>
      </c>
      <c r="AG38" s="34">
        <f t="shared" si="7"/>
        <v>-0.20129394378083273</v>
      </c>
      <c r="AH38" s="34">
        <f t="shared" si="8"/>
        <v>-0.20129394378083273</v>
      </c>
      <c r="AI38" s="35">
        <f t="shared" si="22"/>
        <v>3.7509198529186154E-2</v>
      </c>
      <c r="AJ38" s="35">
        <f t="shared" si="9"/>
        <v>5.6263797793779232E-3</v>
      </c>
      <c r="AK38" s="84">
        <f t="shared" si="10"/>
        <v>8.3837715003909005E-3</v>
      </c>
      <c r="AM38" s="47">
        <f t="shared" si="11"/>
        <v>754269.56015379715</v>
      </c>
      <c r="AN38" s="48">
        <f t="shared" si="12"/>
        <v>12748492.756928924</v>
      </c>
      <c r="AO38" s="48">
        <f t="shared" si="13"/>
        <v>11894809.242125669</v>
      </c>
      <c r="AP38" s="48">
        <f t="shared" si="23"/>
        <v>25397571.559208393</v>
      </c>
      <c r="AQ38" s="49">
        <f t="shared" si="24"/>
        <v>4.4752175567293597E-3</v>
      </c>
    </row>
    <row r="39" spans="1:43" ht="14.25" x14ac:dyDescent="0.2">
      <c r="A39" s="2" t="s">
        <v>33</v>
      </c>
      <c r="B39" s="36">
        <v>28103333</v>
      </c>
      <c r="C39" s="36">
        <v>8842327</v>
      </c>
      <c r="D39" s="45">
        <f t="shared" si="0"/>
        <v>0.31463623905392291</v>
      </c>
      <c r="E39" s="46">
        <f t="shared" si="14"/>
        <v>2782116.5117649571</v>
      </c>
      <c r="F39" s="84">
        <f t="shared" si="1"/>
        <v>2.4469475890953954E-3</v>
      </c>
      <c r="G39" s="160">
        <v>78669</v>
      </c>
      <c r="H39" s="81">
        <f t="shared" si="2"/>
        <v>1.6905492646543709E-2</v>
      </c>
      <c r="I39" s="35">
        <f t="shared" si="15"/>
        <v>1.4369668749562152E-2</v>
      </c>
      <c r="J39" s="36">
        <v>2539.67</v>
      </c>
      <c r="K39" s="78">
        <f t="shared" si="3"/>
        <v>3.9546316778505917E-2</v>
      </c>
      <c r="L39" s="37">
        <f t="shared" si="16"/>
        <v>5.9319475167758876E-3</v>
      </c>
      <c r="M39" s="84">
        <f t="shared" si="17"/>
        <v>2.030161626633804E-2</v>
      </c>
      <c r="N39" s="38">
        <v>12929</v>
      </c>
      <c r="O39" s="39">
        <v>2053</v>
      </c>
      <c r="P39" s="39">
        <v>23315</v>
      </c>
      <c r="Q39" s="39">
        <v>2592</v>
      </c>
      <c r="R39" s="40">
        <f t="shared" si="18"/>
        <v>7.5606241710739607E-3</v>
      </c>
      <c r="S39" s="40">
        <f t="shared" si="18"/>
        <v>5.8348396484885689E-3</v>
      </c>
      <c r="T39" s="40">
        <f t="shared" si="18"/>
        <v>1.7446228352160146E-2</v>
      </c>
      <c r="U39" s="40">
        <f t="shared" si="18"/>
        <v>1.6554684106992311E-2</v>
      </c>
      <c r="V39" s="41">
        <f t="shared" si="19"/>
        <v>4.7396376278714986E-2</v>
      </c>
      <c r="W39" s="42">
        <v>10671.999999957041</v>
      </c>
      <c r="X39" s="42">
        <v>1702</v>
      </c>
      <c r="Y39" s="42">
        <v>11424</v>
      </c>
      <c r="Z39" s="42">
        <v>888</v>
      </c>
      <c r="AA39" s="43">
        <f t="shared" si="20"/>
        <v>8.3931571232688726E-3</v>
      </c>
      <c r="AB39" s="43">
        <f t="shared" si="5"/>
        <v>5.8095082056743401E-3</v>
      </c>
      <c r="AC39" s="43">
        <f t="shared" si="5"/>
        <v>2.3197634750966568E-2</v>
      </c>
      <c r="AD39" s="43">
        <f t="shared" si="5"/>
        <v>1.6173684977415125E-2</v>
      </c>
      <c r="AE39" s="34">
        <f t="shared" si="21"/>
        <v>5.3573985057324913E-2</v>
      </c>
      <c r="AF39" s="44">
        <f t="shared" si="6"/>
        <v>4.5537887298726175E-2</v>
      </c>
      <c r="AG39" s="34">
        <f t="shared" si="7"/>
        <v>0.13033926353952507</v>
      </c>
      <c r="AH39" s="34">
        <f t="shared" si="8"/>
        <v>0</v>
      </c>
      <c r="AI39" s="35">
        <f t="shared" si="22"/>
        <v>0</v>
      </c>
      <c r="AJ39" s="35">
        <f t="shared" si="9"/>
        <v>0</v>
      </c>
      <c r="AK39" s="84">
        <f t="shared" si="10"/>
        <v>4.5537887298726175E-2</v>
      </c>
      <c r="AM39" s="47">
        <f t="shared" si="11"/>
        <v>6943408.4162269793</v>
      </c>
      <c r="AN39" s="48">
        <f t="shared" si="12"/>
        <v>28803725.481266655</v>
      </c>
      <c r="AO39" s="48">
        <f t="shared" si="13"/>
        <v>64608688.665060788</v>
      </c>
      <c r="AP39" s="48">
        <f t="shared" si="23"/>
        <v>100355822.56255442</v>
      </c>
      <c r="AQ39" s="49">
        <f t="shared" si="24"/>
        <v>1.7683349685813751E-2</v>
      </c>
    </row>
    <row r="40" spans="1:43" ht="14.25" x14ac:dyDescent="0.2">
      <c r="A40" s="2" t="s">
        <v>34</v>
      </c>
      <c r="B40" s="36">
        <v>1442240</v>
      </c>
      <c r="C40" s="36">
        <v>427907</v>
      </c>
      <c r="D40" s="45">
        <f t="shared" si="0"/>
        <v>0.29669611160417131</v>
      </c>
      <c r="E40" s="46">
        <f t="shared" si="14"/>
        <v>126958.34302820613</v>
      </c>
      <c r="F40" s="84">
        <f t="shared" si="1"/>
        <v>1.1166333619555502E-4</v>
      </c>
      <c r="G40" s="160">
        <v>5488</v>
      </c>
      <c r="H40" s="81">
        <f t="shared" si="2"/>
        <v>1.1793380320613187E-3</v>
      </c>
      <c r="I40" s="35">
        <f t="shared" si="15"/>
        <v>1.0024373272521209E-3</v>
      </c>
      <c r="J40" s="36">
        <v>264.23</v>
      </c>
      <c r="K40" s="78">
        <f t="shared" si="3"/>
        <v>4.114441357493147E-3</v>
      </c>
      <c r="L40" s="37">
        <f t="shared" si="16"/>
        <v>6.1716620362397201E-4</v>
      </c>
      <c r="M40" s="84">
        <f t="shared" si="17"/>
        <v>1.6196035308760929E-3</v>
      </c>
      <c r="N40" s="38">
        <v>549</v>
      </c>
      <c r="O40" s="39">
        <v>170</v>
      </c>
      <c r="P40" s="39">
        <v>368</v>
      </c>
      <c r="Q40" s="39">
        <v>141</v>
      </c>
      <c r="R40" s="40">
        <f t="shared" si="18"/>
        <v>3.2104437078812008E-4</v>
      </c>
      <c r="S40" s="40">
        <f t="shared" si="18"/>
        <v>4.8315769130202469E-4</v>
      </c>
      <c r="T40" s="40">
        <f t="shared" si="18"/>
        <v>2.7536830510808204E-4</v>
      </c>
      <c r="U40" s="40">
        <f t="shared" si="18"/>
        <v>9.0054415859796135E-4</v>
      </c>
      <c r="V40" s="41">
        <f t="shared" si="19"/>
        <v>1.9801145257961881E-3</v>
      </c>
      <c r="W40" s="42">
        <v>273.99999999933596</v>
      </c>
      <c r="X40" s="42">
        <v>118</v>
      </c>
      <c r="Y40" s="42">
        <v>143</v>
      </c>
      <c r="Z40" s="42">
        <v>8</v>
      </c>
      <c r="AA40" s="43">
        <f t="shared" si="20"/>
        <v>2.1549147786538184E-4</v>
      </c>
      <c r="AB40" s="43">
        <f t="shared" si="5"/>
        <v>4.0277436443570628E-4</v>
      </c>
      <c r="AC40" s="43">
        <f t="shared" si="5"/>
        <v>2.9037655544364666E-4</v>
      </c>
      <c r="AD40" s="43">
        <f t="shared" si="5"/>
        <v>1.4570887367040654E-4</v>
      </c>
      <c r="AE40" s="34">
        <f t="shared" si="21"/>
        <v>1.0543512714151413E-3</v>
      </c>
      <c r="AF40" s="44">
        <f t="shared" si="6"/>
        <v>8.9619858070287008E-4</v>
      </c>
      <c r="AG40" s="34">
        <f t="shared" si="7"/>
        <v>-0.46753015662505931</v>
      </c>
      <c r="AH40" s="34">
        <f t="shared" si="8"/>
        <v>-0.46753015662505931</v>
      </c>
      <c r="AI40" s="35">
        <f t="shared" si="22"/>
        <v>8.7119766913229382E-2</v>
      </c>
      <c r="AJ40" s="35">
        <f t="shared" si="9"/>
        <v>1.3067965036984408E-2</v>
      </c>
      <c r="AK40" s="84">
        <f t="shared" si="10"/>
        <v>1.3964163617687278E-2</v>
      </c>
      <c r="AM40" s="47">
        <f t="shared" si="11"/>
        <v>316853.59824597905</v>
      </c>
      <c r="AN40" s="48">
        <f t="shared" si="12"/>
        <v>2297876.9217107212</v>
      </c>
      <c r="AO40" s="48">
        <f t="shared" si="13"/>
        <v>19812212.492966566</v>
      </c>
      <c r="AP40" s="48">
        <f t="shared" si="23"/>
        <v>22426943.012923267</v>
      </c>
      <c r="AQ40" s="49">
        <f t="shared" si="24"/>
        <v>3.9517734552386198E-3</v>
      </c>
    </row>
    <row r="41" spans="1:43" ht="14.25" x14ac:dyDescent="0.2">
      <c r="A41" s="2" t="s">
        <v>35</v>
      </c>
      <c r="B41" s="36">
        <v>669233</v>
      </c>
      <c r="C41" s="36">
        <v>308778</v>
      </c>
      <c r="D41" s="45">
        <f t="shared" si="0"/>
        <v>0.46139087582351734</v>
      </c>
      <c r="E41" s="46">
        <f t="shared" si="14"/>
        <v>142467.35185503404</v>
      </c>
      <c r="F41" s="84">
        <f t="shared" si="1"/>
        <v>1.2530393377570119E-4</v>
      </c>
      <c r="G41" s="160">
        <v>862</v>
      </c>
      <c r="H41" s="81">
        <f t="shared" si="2"/>
        <v>1.8523859031283833E-4</v>
      </c>
      <c r="I41" s="35">
        <f t="shared" si="15"/>
        <v>1.5745280176591257E-4</v>
      </c>
      <c r="J41" s="36">
        <v>207.92</v>
      </c>
      <c r="K41" s="78">
        <f t="shared" si="3"/>
        <v>3.2376136208983647E-3</v>
      </c>
      <c r="L41" s="37">
        <f t="shared" si="16"/>
        <v>4.8564204313475466E-4</v>
      </c>
      <c r="M41" s="84">
        <f t="shared" si="17"/>
        <v>6.430948449006672E-4</v>
      </c>
      <c r="N41" s="38">
        <v>166</v>
      </c>
      <c r="O41" s="39">
        <v>24</v>
      </c>
      <c r="P41" s="39">
        <v>127</v>
      </c>
      <c r="Q41" s="39">
        <v>48</v>
      </c>
      <c r="R41" s="40">
        <f t="shared" si="18"/>
        <v>9.7073525593493502E-5</v>
      </c>
      <c r="S41" s="40">
        <f t="shared" si="18"/>
        <v>6.821049759557996E-5</v>
      </c>
      <c r="T41" s="40">
        <f t="shared" si="18"/>
        <v>9.5031996599800059E-5</v>
      </c>
      <c r="U41" s="40">
        <f t="shared" si="18"/>
        <v>3.0656822420356133E-4</v>
      </c>
      <c r="V41" s="41">
        <f t="shared" si="19"/>
        <v>5.668842439924349E-4</v>
      </c>
      <c r="W41" s="42">
        <v>122.00000000265999</v>
      </c>
      <c r="X41" s="42">
        <v>28</v>
      </c>
      <c r="Y41" s="42">
        <v>16</v>
      </c>
      <c r="Z41" s="42">
        <v>3</v>
      </c>
      <c r="AA41" s="43">
        <f t="shared" si="20"/>
        <v>9.5948760219757314E-5</v>
      </c>
      <c r="AB41" s="43">
        <f t="shared" si="5"/>
        <v>9.5573578001693018E-5</v>
      </c>
      <c r="AC41" s="43">
        <f t="shared" si="5"/>
        <v>3.2489684525163258E-5</v>
      </c>
      <c r="AD41" s="43">
        <f t="shared" si="5"/>
        <v>5.4640827626402448E-5</v>
      </c>
      <c r="AE41" s="34">
        <f t="shared" si="21"/>
        <v>2.7865285037301604E-4</v>
      </c>
      <c r="AF41" s="44">
        <f t="shared" si="6"/>
        <v>2.3685492281706362E-4</v>
      </c>
      <c r="AG41" s="34">
        <f t="shared" si="7"/>
        <v>-0.50844841195350865</v>
      </c>
      <c r="AH41" s="34">
        <f t="shared" si="8"/>
        <v>-0.50844841195350865</v>
      </c>
      <c r="AI41" s="35">
        <f t="shared" si="22"/>
        <v>9.474449189876509E-2</v>
      </c>
      <c r="AJ41" s="35">
        <f t="shared" si="9"/>
        <v>1.4211673784814763E-2</v>
      </c>
      <c r="AK41" s="84">
        <f t="shared" si="10"/>
        <v>1.4448528707631827E-2</v>
      </c>
      <c r="AM41" s="47">
        <f t="shared" si="11"/>
        <v>355559.8788636878</v>
      </c>
      <c r="AN41" s="48">
        <f t="shared" si="12"/>
        <v>912416.38734204124</v>
      </c>
      <c r="AO41" s="48">
        <f t="shared" si="13"/>
        <v>20499424.727718771</v>
      </c>
      <c r="AP41" s="48">
        <f t="shared" si="23"/>
        <v>21767400.993924499</v>
      </c>
      <c r="AQ41" s="49">
        <f t="shared" si="24"/>
        <v>3.835557855020974E-3</v>
      </c>
    </row>
    <row r="42" spans="1:43" ht="14.25" x14ac:dyDescent="0.2">
      <c r="A42" s="2" t="s">
        <v>36</v>
      </c>
      <c r="B42" s="36">
        <v>578340</v>
      </c>
      <c r="C42" s="36">
        <v>79679</v>
      </c>
      <c r="D42" s="45">
        <f t="shared" si="0"/>
        <v>0.13777189888301</v>
      </c>
      <c r="E42" s="46">
        <f t="shared" si="14"/>
        <v>10977.527131099354</v>
      </c>
      <c r="F42" s="84">
        <f t="shared" si="1"/>
        <v>9.6550354501983577E-6</v>
      </c>
      <c r="G42" s="160">
        <v>7095</v>
      </c>
      <c r="H42" s="81">
        <f t="shared" si="2"/>
        <v>1.5246726198023062E-3</v>
      </c>
      <c r="I42" s="35">
        <f t="shared" si="15"/>
        <v>1.2959717268319602E-3</v>
      </c>
      <c r="J42" s="36">
        <v>1006.78</v>
      </c>
      <c r="K42" s="78">
        <f t="shared" si="3"/>
        <v>1.5677013472720547E-2</v>
      </c>
      <c r="L42" s="37">
        <f t="shared" si="16"/>
        <v>2.3515520209080819E-3</v>
      </c>
      <c r="M42" s="84">
        <f t="shared" si="17"/>
        <v>3.6475237477400424E-3</v>
      </c>
      <c r="N42" s="38">
        <v>1457</v>
      </c>
      <c r="O42" s="39">
        <v>857</v>
      </c>
      <c r="P42" s="39">
        <v>6591</v>
      </c>
      <c r="Q42" s="39">
        <v>540</v>
      </c>
      <c r="R42" s="40">
        <f t="shared" si="18"/>
        <v>8.5202486017903634E-4</v>
      </c>
      <c r="S42" s="40">
        <f t="shared" si="18"/>
        <v>2.4356831849755012E-3</v>
      </c>
      <c r="T42" s="40">
        <f t="shared" si="18"/>
        <v>4.9319361384982845E-3</v>
      </c>
      <c r="U42" s="40">
        <f t="shared" si="18"/>
        <v>3.4488925222900648E-3</v>
      </c>
      <c r="V42" s="41">
        <f t="shared" si="19"/>
        <v>1.1668536705942888E-2</v>
      </c>
      <c r="W42" s="42">
        <v>1103.9999999949041</v>
      </c>
      <c r="X42" s="42">
        <v>656</v>
      </c>
      <c r="Y42" s="42">
        <v>3161</v>
      </c>
      <c r="Z42" s="42">
        <v>242</v>
      </c>
      <c r="AA42" s="43">
        <f t="shared" si="20"/>
        <v>8.6825763344109482E-4</v>
      </c>
      <c r="AB42" s="43">
        <f t="shared" si="5"/>
        <v>2.2391523988968078E-3</v>
      </c>
      <c r="AC42" s="43">
        <f t="shared" si="5"/>
        <v>6.4187432990025668E-3</v>
      </c>
      <c r="AD42" s="43">
        <f t="shared" si="5"/>
        <v>4.4076934285297974E-3</v>
      </c>
      <c r="AE42" s="34">
        <f t="shared" si="21"/>
        <v>1.3933846759870267E-2</v>
      </c>
      <c r="AF42" s="44">
        <f t="shared" si="6"/>
        <v>1.1843769745889727E-2</v>
      </c>
      <c r="AG42" s="34">
        <f t="shared" si="7"/>
        <v>0.19413831494172162</v>
      </c>
      <c r="AH42" s="34">
        <f t="shared" si="8"/>
        <v>0</v>
      </c>
      <c r="AI42" s="35">
        <f t="shared" si="22"/>
        <v>0</v>
      </c>
      <c r="AJ42" s="35">
        <f t="shared" si="9"/>
        <v>0</v>
      </c>
      <c r="AK42" s="84">
        <f t="shared" si="10"/>
        <v>1.1843769745889727E-2</v>
      </c>
      <c r="AM42" s="47">
        <f t="shared" si="11"/>
        <v>27396.931059181577</v>
      </c>
      <c r="AN42" s="48">
        <f t="shared" si="12"/>
        <v>5175069.3805846423</v>
      </c>
      <c r="AO42" s="48">
        <f t="shared" si="13"/>
        <v>16803819.358441353</v>
      </c>
      <c r="AP42" s="48">
        <f t="shared" si="23"/>
        <v>22006285.670085177</v>
      </c>
      <c r="AQ42" s="49">
        <f t="shared" si="24"/>
        <v>3.8776508911325413E-3</v>
      </c>
    </row>
    <row r="43" spans="1:43" ht="14.25" x14ac:dyDescent="0.2">
      <c r="A43" s="2" t="s">
        <v>37</v>
      </c>
      <c r="B43" s="36">
        <v>3535068</v>
      </c>
      <c r="C43" s="36">
        <v>709878</v>
      </c>
      <c r="D43" s="45">
        <f t="shared" si="0"/>
        <v>0.20081028144295951</v>
      </c>
      <c r="E43" s="46">
        <f t="shared" si="14"/>
        <v>142550.8009701652</v>
      </c>
      <c r="F43" s="84">
        <f t="shared" si="1"/>
        <v>1.2537732955557554E-4</v>
      </c>
      <c r="G43" s="160">
        <v>5447</v>
      </c>
      <c r="H43" s="81">
        <f t="shared" si="2"/>
        <v>1.1705273798538634E-3</v>
      </c>
      <c r="I43" s="35">
        <f t="shared" si="15"/>
        <v>9.9494827287578387E-4</v>
      </c>
      <c r="J43" s="36">
        <v>3872.26</v>
      </c>
      <c r="K43" s="78">
        <f t="shared" si="3"/>
        <v>6.0296660829453175E-2</v>
      </c>
      <c r="L43" s="37">
        <f t="shared" si="16"/>
        <v>9.0444991244179752E-3</v>
      </c>
      <c r="M43" s="84">
        <f t="shared" si="17"/>
        <v>1.0039447397293759E-2</v>
      </c>
      <c r="N43" s="38">
        <v>871</v>
      </c>
      <c r="O43" s="39">
        <v>298</v>
      </c>
      <c r="P43" s="39">
        <v>2364</v>
      </c>
      <c r="Q43" s="39">
        <v>407</v>
      </c>
      <c r="R43" s="40">
        <f t="shared" si="18"/>
        <v>5.0934361922851112E-4</v>
      </c>
      <c r="S43" s="40">
        <f t="shared" si="18"/>
        <v>8.4694701181178454E-4</v>
      </c>
      <c r="T43" s="40">
        <f t="shared" si="18"/>
        <v>1.7689420469443097E-3</v>
      </c>
      <c r="U43" s="40">
        <f t="shared" si="18"/>
        <v>2.5994430677260304E-3</v>
      </c>
      <c r="V43" s="41">
        <f t="shared" si="19"/>
        <v>5.7246757457106359E-3</v>
      </c>
      <c r="W43" s="42">
        <v>541.99999999184001</v>
      </c>
      <c r="X43" s="42">
        <v>247</v>
      </c>
      <c r="Y43" s="42">
        <v>493</v>
      </c>
      <c r="Z43" s="42">
        <v>128</v>
      </c>
      <c r="AA43" s="43">
        <f t="shared" si="20"/>
        <v>4.2626416423927597E-4</v>
      </c>
      <c r="AB43" s="43">
        <f t="shared" si="5"/>
        <v>8.4309549165779193E-4</v>
      </c>
      <c r="AC43" s="43">
        <f t="shared" si="5"/>
        <v>1.0010884044315931E-3</v>
      </c>
      <c r="AD43" s="43">
        <f t="shared" si="5"/>
        <v>2.3313419787265046E-3</v>
      </c>
      <c r="AE43" s="34">
        <f t="shared" si="21"/>
        <v>4.6017900390551651E-3</v>
      </c>
      <c r="AF43" s="44">
        <f t="shared" si="6"/>
        <v>3.9115215331968906E-3</v>
      </c>
      <c r="AG43" s="34">
        <f t="shared" si="7"/>
        <v>-0.19614835084708904</v>
      </c>
      <c r="AH43" s="34">
        <f t="shared" si="8"/>
        <v>-0.19614835084708904</v>
      </c>
      <c r="AI43" s="35">
        <f t="shared" si="22"/>
        <v>3.655036656794089E-2</v>
      </c>
      <c r="AJ43" s="35">
        <f t="shared" si="9"/>
        <v>5.4825549851911333E-3</v>
      </c>
      <c r="AK43" s="84">
        <f t="shared" si="10"/>
        <v>9.3940765183880247E-3</v>
      </c>
      <c r="AM43" s="47">
        <f t="shared" si="11"/>
        <v>355768.14522704034</v>
      </c>
      <c r="AN43" s="48">
        <f t="shared" si="12"/>
        <v>14243865.267749291</v>
      </c>
      <c r="AO43" s="48">
        <f t="shared" si="13"/>
        <v>13328219.666643778</v>
      </c>
      <c r="AP43" s="48">
        <f t="shared" si="23"/>
        <v>27927853.079620108</v>
      </c>
      <c r="AQ43" s="49">
        <f t="shared" si="24"/>
        <v>4.9210696436982337E-3</v>
      </c>
    </row>
    <row r="44" spans="1:43" ht="14.25" x14ac:dyDescent="0.2">
      <c r="A44" s="2" t="s">
        <v>38</v>
      </c>
      <c r="B44" s="36">
        <v>43800112</v>
      </c>
      <c r="C44" s="36">
        <v>12921249</v>
      </c>
      <c r="D44" s="45">
        <f t="shared" si="0"/>
        <v>0.29500493058099941</v>
      </c>
      <c r="E44" s="46">
        <f t="shared" si="14"/>
        <v>3811832.1642648079</v>
      </c>
      <c r="F44" s="84">
        <f t="shared" si="1"/>
        <v>3.352610677856493E-3</v>
      </c>
      <c r="G44" s="160">
        <v>59113</v>
      </c>
      <c r="H44" s="81">
        <f t="shared" si="2"/>
        <v>1.2703026437543865E-2</v>
      </c>
      <c r="I44" s="35">
        <f t="shared" si="15"/>
        <v>1.0797572471912285E-2</v>
      </c>
      <c r="J44" s="36">
        <v>1869.3</v>
      </c>
      <c r="K44" s="78">
        <f t="shared" si="3"/>
        <v>2.9107691138636562E-2</v>
      </c>
      <c r="L44" s="37">
        <f t="shared" si="16"/>
        <v>4.3661536707954845E-3</v>
      </c>
      <c r="M44" s="84">
        <f t="shared" si="17"/>
        <v>1.516372614270777E-2</v>
      </c>
      <c r="N44" s="38">
        <v>9097</v>
      </c>
      <c r="O44" s="39">
        <v>1608</v>
      </c>
      <c r="P44" s="39">
        <v>18077</v>
      </c>
      <c r="Q44" s="39">
        <v>1611</v>
      </c>
      <c r="R44" s="40">
        <f t="shared" si="18"/>
        <v>5.3197461585783755E-3</v>
      </c>
      <c r="S44" s="40">
        <f t="shared" si="18"/>
        <v>4.5701033389038571E-3</v>
      </c>
      <c r="T44" s="40">
        <f t="shared" si="18"/>
        <v>1.3526719704996738E-2</v>
      </c>
      <c r="U44" s="40">
        <f t="shared" si="18"/>
        <v>1.0289196024832026E-2</v>
      </c>
      <c r="V44" s="41">
        <f t="shared" si="19"/>
        <v>3.3705765227310995E-2</v>
      </c>
      <c r="W44" s="42">
        <v>5867.9999999965466</v>
      </c>
      <c r="X44" s="42">
        <v>1434</v>
      </c>
      <c r="Y44" s="42">
        <v>7372</v>
      </c>
      <c r="Z44" s="42">
        <v>494</v>
      </c>
      <c r="AA44" s="43">
        <f t="shared" si="20"/>
        <v>4.6149780734174488E-3</v>
      </c>
      <c r="AB44" s="43">
        <f t="shared" si="5"/>
        <v>4.8947325305152781E-3</v>
      </c>
      <c r="AC44" s="43">
        <f t="shared" si="5"/>
        <v>1.4969622144968973E-2</v>
      </c>
      <c r="AD44" s="43">
        <f t="shared" si="5"/>
        <v>8.9975229491476034E-3</v>
      </c>
      <c r="AE44" s="34">
        <f t="shared" si="21"/>
        <v>3.3476855698049306E-2</v>
      </c>
      <c r="AF44" s="44">
        <f t="shared" si="6"/>
        <v>2.8455327343341909E-2</v>
      </c>
      <c r="AG44" s="34">
        <f t="shared" si="7"/>
        <v>-6.7914057941698752E-3</v>
      </c>
      <c r="AH44" s="34">
        <f t="shared" si="8"/>
        <v>-6.7914057941698752E-3</v>
      </c>
      <c r="AI44" s="35">
        <f t="shared" si="22"/>
        <v>1.2655134249997214E-3</v>
      </c>
      <c r="AJ44" s="35">
        <f t="shared" si="9"/>
        <v>1.898270137499582E-4</v>
      </c>
      <c r="AK44" s="84">
        <f t="shared" si="10"/>
        <v>2.8645154357091869E-2</v>
      </c>
      <c r="AM44" s="47">
        <f t="shared" si="11"/>
        <v>9513299.4677532054</v>
      </c>
      <c r="AN44" s="48">
        <f t="shared" si="12"/>
        <v>21514139.532420836</v>
      </c>
      <c r="AO44" s="48">
        <f t="shared" si="13"/>
        <v>40641451.973370932</v>
      </c>
      <c r="AP44" s="48">
        <f t="shared" si="23"/>
        <v>71668890.97354497</v>
      </c>
      <c r="AQ44" s="49">
        <f t="shared" si="24"/>
        <v>1.2628525463878154E-2</v>
      </c>
    </row>
    <row r="45" spans="1:43" ht="14.25" x14ac:dyDescent="0.2">
      <c r="A45" s="2" t="s">
        <v>39</v>
      </c>
      <c r="B45" s="36">
        <v>1310039238</v>
      </c>
      <c r="C45" s="36">
        <v>699624594.67999995</v>
      </c>
      <c r="D45" s="45">
        <f t="shared" si="0"/>
        <v>0.53404857990978738</v>
      </c>
      <c r="E45" s="46">
        <f t="shared" si="14"/>
        <v>373633521.25881457</v>
      </c>
      <c r="F45" s="84">
        <f t="shared" si="1"/>
        <v>0.32862090433066649</v>
      </c>
      <c r="G45" s="160">
        <v>1135550</v>
      </c>
      <c r="H45" s="81">
        <f t="shared" si="2"/>
        <v>0.24402283205306677</v>
      </c>
      <c r="I45" s="35">
        <f t="shared" si="15"/>
        <v>0.20741940724510674</v>
      </c>
      <c r="J45" s="36">
        <v>323.60000000000002</v>
      </c>
      <c r="K45" s="78">
        <f t="shared" si="3"/>
        <v>5.0389176977814112E-3</v>
      </c>
      <c r="L45" s="37">
        <f t="shared" si="16"/>
        <v>7.558376546672117E-4</v>
      </c>
      <c r="M45" s="84">
        <f t="shared" si="17"/>
        <v>0.20817524489977396</v>
      </c>
      <c r="N45" s="38">
        <v>123398</v>
      </c>
      <c r="O45" s="39">
        <v>25536</v>
      </c>
      <c r="P45" s="39">
        <v>28126</v>
      </c>
      <c r="Q45" s="39">
        <v>2378</v>
      </c>
      <c r="R45" s="40">
        <f t="shared" si="18"/>
        <v>7.2160716332445252E-2</v>
      </c>
      <c r="S45" s="40">
        <f t="shared" si="18"/>
        <v>7.2575969441697072E-2</v>
      </c>
      <c r="T45" s="40">
        <f t="shared" si="18"/>
        <v>2.104621997138564E-2</v>
      </c>
      <c r="U45" s="40">
        <f t="shared" si="18"/>
        <v>1.5187900774084766E-2</v>
      </c>
      <c r="V45" s="41">
        <f t="shared" si="19"/>
        <v>0.18097080651961275</v>
      </c>
      <c r="W45" s="42">
        <v>88873.999998769097</v>
      </c>
      <c r="X45" s="42">
        <v>19246</v>
      </c>
      <c r="Y45" s="42">
        <v>4982</v>
      </c>
      <c r="Z45" s="42">
        <v>694</v>
      </c>
      <c r="AA45" s="43">
        <f t="shared" si="20"/>
        <v>6.9896312421858064E-2</v>
      </c>
      <c r="AB45" s="43">
        <f t="shared" si="5"/>
        <v>6.5693181507877993E-2</v>
      </c>
      <c r="AC45" s="43">
        <f t="shared" si="5"/>
        <v>1.011647551902271E-2</v>
      </c>
      <c r="AD45" s="43">
        <f t="shared" si="5"/>
        <v>1.2640244790907766E-2</v>
      </c>
      <c r="AE45" s="34">
        <f t="shared" si="21"/>
        <v>0.15834621423966655</v>
      </c>
      <c r="AF45" s="44">
        <f t="shared" si="6"/>
        <v>0.13459428210371657</v>
      </c>
      <c r="AG45" s="34">
        <f t="shared" si="7"/>
        <v>-0.12501791153532965</v>
      </c>
      <c r="AH45" s="34">
        <f t="shared" si="8"/>
        <v>-0.12501791153532965</v>
      </c>
      <c r="AI45" s="35">
        <f t="shared" si="22"/>
        <v>2.329589045455142E-2</v>
      </c>
      <c r="AJ45" s="35">
        <f t="shared" si="9"/>
        <v>3.4943835681827129E-3</v>
      </c>
      <c r="AK45" s="84">
        <f t="shared" si="10"/>
        <v>0.13808866567189929</v>
      </c>
      <c r="AM45" s="47">
        <f t="shared" si="11"/>
        <v>932487954.8078934</v>
      </c>
      <c r="AN45" s="48">
        <f t="shared" si="12"/>
        <v>295356907.91431409</v>
      </c>
      <c r="AO45" s="48">
        <f t="shared" si="13"/>
        <v>195918786.26347637</v>
      </c>
      <c r="AP45" s="48">
        <f t="shared" si="23"/>
        <v>1423763648.9856839</v>
      </c>
      <c r="AQ45" s="49">
        <f t="shared" si="24"/>
        <v>0.25087642980825159</v>
      </c>
    </row>
    <row r="46" spans="1:43" ht="14.25" x14ac:dyDescent="0.2">
      <c r="A46" s="2" t="s">
        <v>40</v>
      </c>
      <c r="B46" s="36">
        <v>1666646</v>
      </c>
      <c r="C46" s="36">
        <v>464524</v>
      </c>
      <c r="D46" s="45">
        <f t="shared" si="0"/>
        <v>0.27871785610141564</v>
      </c>
      <c r="E46" s="46">
        <f t="shared" si="14"/>
        <v>129471.133387654</v>
      </c>
      <c r="F46" s="84">
        <f t="shared" si="1"/>
        <v>1.1387340406508951E-4</v>
      </c>
      <c r="G46" s="160">
        <v>1034</v>
      </c>
      <c r="H46" s="81">
        <f t="shared" si="2"/>
        <v>2.2220035079289422E-4</v>
      </c>
      <c r="I46" s="35">
        <f t="shared" si="15"/>
        <v>1.8887029817396008E-4</v>
      </c>
      <c r="J46" s="36">
        <v>1172.6600000000001</v>
      </c>
      <c r="K46" s="78">
        <f t="shared" si="3"/>
        <v>1.8260003793202563E-2</v>
      </c>
      <c r="L46" s="37">
        <f t="shared" si="16"/>
        <v>2.7390005689803842E-3</v>
      </c>
      <c r="M46" s="84">
        <f t="shared" si="17"/>
        <v>2.9278708671543444E-3</v>
      </c>
      <c r="N46" s="38">
        <v>244</v>
      </c>
      <c r="O46" s="39">
        <v>60</v>
      </c>
      <c r="P46" s="39">
        <v>375</v>
      </c>
      <c r="Q46" s="39">
        <v>47</v>
      </c>
      <c r="R46" s="40">
        <f t="shared" si="18"/>
        <v>1.4268638701694225E-4</v>
      </c>
      <c r="S46" s="40">
        <f t="shared" si="18"/>
        <v>1.7052624398894989E-4</v>
      </c>
      <c r="T46" s="40">
        <f t="shared" si="18"/>
        <v>2.8060628917263796E-4</v>
      </c>
      <c r="U46" s="40">
        <f t="shared" si="18"/>
        <v>3.0018138619932047E-4</v>
      </c>
      <c r="V46" s="41">
        <f t="shared" si="19"/>
        <v>8.9400030637785065E-4</v>
      </c>
      <c r="W46" s="42">
        <v>95.999999999399989</v>
      </c>
      <c r="X46" s="42">
        <v>43</v>
      </c>
      <c r="Y46" s="42">
        <v>84</v>
      </c>
      <c r="Z46" s="42">
        <v>27</v>
      </c>
      <c r="AA46" s="43">
        <f t="shared" si="20"/>
        <v>7.5500663777363118E-5</v>
      </c>
      <c r="AB46" s="43">
        <f t="shared" si="5"/>
        <v>1.4677370907402855E-4</v>
      </c>
      <c r="AC46" s="43">
        <f t="shared" si="5"/>
        <v>1.7057084375710711E-4</v>
      </c>
      <c r="AD46" s="43">
        <f t="shared" si="5"/>
        <v>4.91767448637622E-4</v>
      </c>
      <c r="AE46" s="34">
        <f t="shared" si="21"/>
        <v>8.8461266524612078E-4</v>
      </c>
      <c r="AF46" s="44">
        <f t="shared" si="6"/>
        <v>7.5192076545920264E-4</v>
      </c>
      <c r="AG46" s="34">
        <f t="shared" si="7"/>
        <v>-1.0500713550943872E-2</v>
      </c>
      <c r="AH46" s="34">
        <f t="shared" si="8"/>
        <v>-1.0500713550943872E-2</v>
      </c>
      <c r="AI46" s="35">
        <f t="shared" si="22"/>
        <v>1.9567073995495625E-3</v>
      </c>
      <c r="AJ46" s="35">
        <f t="shared" si="9"/>
        <v>2.9350610993243438E-4</v>
      </c>
      <c r="AK46" s="84">
        <f t="shared" si="10"/>
        <v>1.0454268753916371E-3</v>
      </c>
      <c r="AM46" s="47">
        <f t="shared" si="11"/>
        <v>323124.84161634953</v>
      </c>
      <c r="AN46" s="48">
        <f t="shared" si="12"/>
        <v>4154033.2353707612</v>
      </c>
      <c r="AO46" s="48">
        <f t="shared" si="13"/>
        <v>1483240.9565068902</v>
      </c>
      <c r="AP46" s="48">
        <f t="shared" si="23"/>
        <v>5960399.0334940013</v>
      </c>
      <c r="AQ46" s="49">
        <f t="shared" si="24"/>
        <v>1.05026113766904E-3</v>
      </c>
    </row>
    <row r="47" spans="1:43" ht="14.25" x14ac:dyDescent="0.2">
      <c r="A47" s="2" t="s">
        <v>41</v>
      </c>
      <c r="B47" s="36">
        <v>43067472</v>
      </c>
      <c r="C47" s="36">
        <v>9362618</v>
      </c>
      <c r="D47" s="45">
        <f t="shared" si="0"/>
        <v>0.21739418557002835</v>
      </c>
      <c r="E47" s="46">
        <f t="shared" si="14"/>
        <v>2035378.7149132877</v>
      </c>
      <c r="F47" s="84">
        <f t="shared" si="1"/>
        <v>1.7901712664771102E-3</v>
      </c>
      <c r="G47" s="160">
        <v>20843</v>
      </c>
      <c r="H47" s="81">
        <f t="shared" si="2"/>
        <v>4.4790347307314257E-3</v>
      </c>
      <c r="I47" s="35">
        <f t="shared" si="15"/>
        <v>3.8071795211217117E-3</v>
      </c>
      <c r="J47" s="36">
        <v>308.89</v>
      </c>
      <c r="K47" s="78">
        <f t="shared" si="3"/>
        <v>4.8098618283921504E-3</v>
      </c>
      <c r="L47" s="37">
        <f t="shared" si="16"/>
        <v>7.2147927425882249E-4</v>
      </c>
      <c r="M47" s="84">
        <f t="shared" si="17"/>
        <v>4.5286587953805345E-3</v>
      </c>
      <c r="N47" s="38">
        <v>1423</v>
      </c>
      <c r="O47" s="39">
        <v>462</v>
      </c>
      <c r="P47" s="39">
        <v>3867</v>
      </c>
      <c r="Q47" s="39">
        <v>358</v>
      </c>
      <c r="R47" s="40">
        <f t="shared" si="18"/>
        <v>8.3214233084060992E-4</v>
      </c>
      <c r="S47" s="40">
        <f t="shared" si="18"/>
        <v>1.3130520787149142E-3</v>
      </c>
      <c r="T47" s="40">
        <f t="shared" si="18"/>
        <v>2.8936120539482428E-3</v>
      </c>
      <c r="U47" s="40">
        <f t="shared" si="18"/>
        <v>2.286488005518228E-3</v>
      </c>
      <c r="V47" s="41">
        <f t="shared" si="19"/>
        <v>7.3252944690219944E-3</v>
      </c>
      <c r="W47" s="42">
        <v>502.9999955589883</v>
      </c>
      <c r="X47" s="42">
        <v>435</v>
      </c>
      <c r="Y47" s="42">
        <v>1115</v>
      </c>
      <c r="Z47" s="42">
        <v>155</v>
      </c>
      <c r="AA47" s="43">
        <f t="shared" si="20"/>
        <v>3.9559201609324664E-4</v>
      </c>
      <c r="AB47" s="43">
        <f t="shared" si="5"/>
        <v>1.4848038010977307E-3</v>
      </c>
      <c r="AC47" s="43">
        <f t="shared" si="5"/>
        <v>2.2641248903473147E-3</v>
      </c>
      <c r="AD47" s="43">
        <f t="shared" si="5"/>
        <v>2.8231094273641266E-3</v>
      </c>
      <c r="AE47" s="34">
        <f t="shared" si="21"/>
        <v>6.9676301349024189E-3</v>
      </c>
      <c r="AF47" s="44">
        <f t="shared" si="6"/>
        <v>5.9224856146670559E-3</v>
      </c>
      <c r="AG47" s="34">
        <f t="shared" si="7"/>
        <v>-4.8825932613645158E-2</v>
      </c>
      <c r="AH47" s="34">
        <f t="shared" si="8"/>
        <v>-4.8825932613645158E-2</v>
      </c>
      <c r="AI47" s="35">
        <f t="shared" si="22"/>
        <v>9.0982449117888945E-3</v>
      </c>
      <c r="AJ47" s="35">
        <f t="shared" si="9"/>
        <v>1.3647367367683341E-3</v>
      </c>
      <c r="AK47" s="84">
        <f t="shared" si="10"/>
        <v>7.2872223514353898E-3</v>
      </c>
      <c r="AM47" s="47">
        <f t="shared" si="11"/>
        <v>5079753.3602834735</v>
      </c>
      <c r="AN47" s="48">
        <f t="shared" si="12"/>
        <v>6425214.7725178897</v>
      </c>
      <c r="AO47" s="48">
        <f t="shared" si="13"/>
        <v>10339036.526846765</v>
      </c>
      <c r="AP47" s="48">
        <f t="shared" si="23"/>
        <v>21844004.659648128</v>
      </c>
      <c r="AQ47" s="49">
        <f t="shared" si="24"/>
        <v>3.8490559199425363E-3</v>
      </c>
    </row>
    <row r="48" spans="1:43" ht="14.25" x14ac:dyDescent="0.2">
      <c r="A48" s="2" t="s">
        <v>42</v>
      </c>
      <c r="B48" s="36">
        <v>2466234</v>
      </c>
      <c r="C48" s="36">
        <v>650988</v>
      </c>
      <c r="D48" s="45">
        <f t="shared" si="0"/>
        <v>0.26396035412698066</v>
      </c>
      <c r="E48" s="46">
        <f t="shared" si="14"/>
        <v>171835.02301241489</v>
      </c>
      <c r="F48" s="84">
        <f t="shared" si="1"/>
        <v>1.511336040400537E-4</v>
      </c>
      <c r="G48" s="160">
        <v>5359</v>
      </c>
      <c r="H48" s="81">
        <f t="shared" si="2"/>
        <v>1.1516167117012767E-3</v>
      </c>
      <c r="I48" s="35">
        <f t="shared" si="15"/>
        <v>9.788742049460853E-4</v>
      </c>
      <c r="J48" s="36">
        <v>1341.58</v>
      </c>
      <c r="K48" s="78">
        <f t="shared" si="3"/>
        <v>2.089033128859575E-2</v>
      </c>
      <c r="L48" s="37">
        <f t="shared" si="16"/>
        <v>3.1335496932893623E-3</v>
      </c>
      <c r="M48" s="84">
        <f t="shared" si="17"/>
        <v>4.1124238982354474E-3</v>
      </c>
      <c r="N48" s="38">
        <v>1104</v>
      </c>
      <c r="O48" s="39">
        <v>274</v>
      </c>
      <c r="P48" s="39">
        <v>2326</v>
      </c>
      <c r="Q48" s="39">
        <v>140</v>
      </c>
      <c r="R48" s="40">
        <f t="shared" si="18"/>
        <v>6.4559742322419769E-4</v>
      </c>
      <c r="S48" s="40">
        <f t="shared" si="18"/>
        <v>7.7873651421620459E-4</v>
      </c>
      <c r="T48" s="40">
        <f t="shared" si="18"/>
        <v>1.7405072763081492E-3</v>
      </c>
      <c r="U48" s="40">
        <f t="shared" si="18"/>
        <v>8.9415732059372043E-4</v>
      </c>
      <c r="V48" s="41">
        <f t="shared" si="19"/>
        <v>4.0589985343422721E-3</v>
      </c>
      <c r="W48" s="42">
        <v>511.00000000414997</v>
      </c>
      <c r="X48" s="42">
        <v>264</v>
      </c>
      <c r="Y48" s="42">
        <v>999</v>
      </c>
      <c r="Z48" s="42">
        <v>49</v>
      </c>
      <c r="AA48" s="43">
        <f t="shared" si="20"/>
        <v>4.0188374157069809E-4</v>
      </c>
      <c r="AB48" s="43">
        <f t="shared" si="5"/>
        <v>9.0112230687310556E-4</v>
      </c>
      <c r="AC48" s="43">
        <f t="shared" si="5"/>
        <v>2.028574677539881E-3</v>
      </c>
      <c r="AD48" s="43">
        <f t="shared" si="5"/>
        <v>8.9246685123123997E-4</v>
      </c>
      <c r="AE48" s="34">
        <f t="shared" si="21"/>
        <v>4.2240475772149242E-3</v>
      </c>
      <c r="AF48" s="44">
        <f t="shared" si="6"/>
        <v>3.5904404406326856E-3</v>
      </c>
      <c r="AG48" s="34">
        <f t="shared" si="7"/>
        <v>4.066250368809185E-2</v>
      </c>
      <c r="AH48" s="34">
        <f t="shared" si="8"/>
        <v>0</v>
      </c>
      <c r="AI48" s="35">
        <f t="shared" si="22"/>
        <v>0</v>
      </c>
      <c r="AJ48" s="35">
        <f t="shared" si="9"/>
        <v>0</v>
      </c>
      <c r="AK48" s="84">
        <f t="shared" si="10"/>
        <v>3.5904404406326856E-3</v>
      </c>
      <c r="AM48" s="47">
        <f t="shared" si="11"/>
        <v>428853.62275142461</v>
      </c>
      <c r="AN48" s="48">
        <f t="shared" si="12"/>
        <v>5834664.958364944</v>
      </c>
      <c r="AO48" s="48">
        <f t="shared" si="13"/>
        <v>5094080.1684001228</v>
      </c>
      <c r="AP48" s="48">
        <f t="shared" si="23"/>
        <v>11357598.749516491</v>
      </c>
      <c r="AQ48" s="49">
        <f t="shared" si="24"/>
        <v>2.0012828867370601E-3</v>
      </c>
    </row>
    <row r="49" spans="1:43" ht="14.25" x14ac:dyDescent="0.2">
      <c r="A49" s="2" t="s">
        <v>43</v>
      </c>
      <c r="B49" s="36">
        <v>935481</v>
      </c>
      <c r="C49" s="36">
        <v>193913</v>
      </c>
      <c r="D49" s="45">
        <f t="shared" si="0"/>
        <v>0.20728694650131857</v>
      </c>
      <c r="E49" s="46">
        <f t="shared" si="14"/>
        <v>40195.633656910191</v>
      </c>
      <c r="F49" s="84">
        <f t="shared" si="1"/>
        <v>3.5353159529088634E-5</v>
      </c>
      <c r="G49" s="160">
        <v>2628</v>
      </c>
      <c r="H49" s="81">
        <f t="shared" si="2"/>
        <v>5.6474131710224952E-4</v>
      </c>
      <c r="I49" s="35">
        <f t="shared" si="15"/>
        <v>4.800301195369121E-4</v>
      </c>
      <c r="J49" s="36">
        <v>673.76</v>
      </c>
      <c r="K49" s="78">
        <f t="shared" si="3"/>
        <v>1.0491412818470961E-2</v>
      </c>
      <c r="L49" s="37">
        <f t="shared" si="16"/>
        <v>1.5737119227706442E-3</v>
      </c>
      <c r="M49" s="84">
        <f t="shared" si="17"/>
        <v>2.0537420423075562E-3</v>
      </c>
      <c r="N49" s="38">
        <v>671</v>
      </c>
      <c r="O49" s="39">
        <v>247</v>
      </c>
      <c r="P49" s="39">
        <v>1766</v>
      </c>
      <c r="Q49" s="39">
        <v>574</v>
      </c>
      <c r="R49" s="40">
        <f t="shared" si="18"/>
        <v>3.9238756429659118E-4</v>
      </c>
      <c r="S49" s="40">
        <f t="shared" si="18"/>
        <v>7.0199970442117712E-4</v>
      </c>
      <c r="T49" s="40">
        <f t="shared" si="18"/>
        <v>1.3214685511436764E-3</v>
      </c>
      <c r="U49" s="40">
        <f t="shared" si="18"/>
        <v>3.6660450144342539E-3</v>
      </c>
      <c r="V49" s="41">
        <f t="shared" si="19"/>
        <v>6.0819008342956988E-3</v>
      </c>
      <c r="W49" s="42">
        <v>600.99999999995009</v>
      </c>
      <c r="X49" s="42">
        <v>212</v>
      </c>
      <c r="Y49" s="42">
        <v>872</v>
      </c>
      <c r="Z49" s="42">
        <v>90</v>
      </c>
      <c r="AA49" s="43">
        <f t="shared" si="20"/>
        <v>4.7266561385911533E-4</v>
      </c>
      <c r="AB49" s="43">
        <f t="shared" si="5"/>
        <v>7.2362851915567573E-4</v>
      </c>
      <c r="AC49" s="43">
        <f t="shared" si="5"/>
        <v>1.7706878066213977E-3</v>
      </c>
      <c r="AD49" s="43">
        <f t="shared" si="5"/>
        <v>1.6392248287920735E-3</v>
      </c>
      <c r="AE49" s="34">
        <f t="shared" si="21"/>
        <v>4.6062067684282618E-3</v>
      </c>
      <c r="AF49" s="44">
        <f t="shared" si="6"/>
        <v>3.9152757531640226E-3</v>
      </c>
      <c r="AG49" s="34">
        <f t="shared" si="7"/>
        <v>-0.24263698242924844</v>
      </c>
      <c r="AH49" s="34">
        <f t="shared" si="8"/>
        <v>-0.24263698242924844</v>
      </c>
      <c r="AI49" s="35">
        <f t="shared" si="22"/>
        <v>4.5213077818031917E-2</v>
      </c>
      <c r="AJ49" s="35">
        <f t="shared" si="9"/>
        <v>6.7819616727047873E-3</v>
      </c>
      <c r="AK49" s="84">
        <f t="shared" si="10"/>
        <v>1.0697237425868811E-2</v>
      </c>
      <c r="AM49" s="47">
        <f t="shared" si="11"/>
        <v>100317.40218238048</v>
      </c>
      <c r="AN49" s="48">
        <f t="shared" si="12"/>
        <v>2913828.2006663647</v>
      </c>
      <c r="AO49" s="48">
        <f t="shared" si="13"/>
        <v>15177131.031362697</v>
      </c>
      <c r="AP49" s="48">
        <f t="shared" si="23"/>
        <v>18191276.634211443</v>
      </c>
      <c r="AQ49" s="49">
        <f t="shared" si="24"/>
        <v>3.2054214468086361E-3</v>
      </c>
    </row>
    <row r="50" spans="1:43" ht="14.25" x14ac:dyDescent="0.2">
      <c r="A50" s="2" t="s">
        <v>44</v>
      </c>
      <c r="B50" s="36">
        <v>16353525</v>
      </c>
      <c r="C50" s="36">
        <v>5800106</v>
      </c>
      <c r="D50" s="45">
        <f t="shared" si="0"/>
        <v>0.35467007877506529</v>
      </c>
      <c r="E50" s="46">
        <f t="shared" si="14"/>
        <v>2057124.0519237288</v>
      </c>
      <c r="F50" s="84">
        <f t="shared" si="1"/>
        <v>1.809296885316851E-3</v>
      </c>
      <c r="G50" s="160">
        <v>34671</v>
      </c>
      <c r="H50" s="81">
        <f t="shared" si="2"/>
        <v>7.4505883581628971E-3</v>
      </c>
      <c r="I50" s="35">
        <f t="shared" si="15"/>
        <v>6.3330001044384623E-3</v>
      </c>
      <c r="J50" s="36">
        <v>1542.15</v>
      </c>
      <c r="K50" s="78">
        <f t="shared" si="3"/>
        <v>2.4013494831995066E-2</v>
      </c>
      <c r="L50" s="37">
        <f t="shared" si="16"/>
        <v>3.6020242247992596E-3</v>
      </c>
      <c r="M50" s="84">
        <f t="shared" si="17"/>
        <v>9.9350243292377211E-3</v>
      </c>
      <c r="N50" s="38">
        <v>4789</v>
      </c>
      <c r="O50" s="39">
        <v>909</v>
      </c>
      <c r="P50" s="39">
        <v>4749</v>
      </c>
      <c r="Q50" s="39">
        <v>258</v>
      </c>
      <c r="R50" s="40">
        <f t="shared" si="18"/>
        <v>2.8005127353448217E-3</v>
      </c>
      <c r="S50" s="40">
        <f t="shared" si="18"/>
        <v>2.5834725964325911E-3</v>
      </c>
      <c r="T50" s="40">
        <f t="shared" si="18"/>
        <v>3.5535980460822871E-3</v>
      </c>
      <c r="U50" s="40">
        <f t="shared" si="18"/>
        <v>1.6478042050941421E-3</v>
      </c>
      <c r="V50" s="41">
        <f t="shared" si="19"/>
        <v>1.0585387582953843E-2</v>
      </c>
      <c r="W50" s="42">
        <v>3480.0000000606401</v>
      </c>
      <c r="X50" s="42">
        <v>841</v>
      </c>
      <c r="Y50" s="42">
        <v>1534</v>
      </c>
      <c r="Z50" s="42">
        <v>182</v>
      </c>
      <c r="AA50" s="43">
        <f t="shared" si="20"/>
        <v>2.7368990619942106E-3</v>
      </c>
      <c r="AB50" s="43">
        <f t="shared" si="5"/>
        <v>2.8706206821222796E-3</v>
      </c>
      <c r="AC50" s="43">
        <f t="shared" si="5"/>
        <v>3.1149485038500274E-3</v>
      </c>
      <c r="AD50" s="43">
        <f t="shared" si="5"/>
        <v>3.3148768760017486E-3</v>
      </c>
      <c r="AE50" s="34">
        <f t="shared" si="21"/>
        <v>1.2037345123968266E-2</v>
      </c>
      <c r="AF50" s="44">
        <f t="shared" si="6"/>
        <v>1.0231743355373026E-2</v>
      </c>
      <c r="AG50" s="34">
        <f t="shared" si="7"/>
        <v>0.1371662142397676</v>
      </c>
      <c r="AH50" s="34">
        <f t="shared" si="8"/>
        <v>0</v>
      </c>
      <c r="AI50" s="35">
        <f t="shared" si="22"/>
        <v>0</v>
      </c>
      <c r="AJ50" s="35">
        <f t="shared" si="9"/>
        <v>0</v>
      </c>
      <c r="AK50" s="84">
        <f t="shared" si="10"/>
        <v>1.0231743355373026E-2</v>
      </c>
      <c r="AM50" s="47">
        <f t="shared" si="11"/>
        <v>5134023.825008261</v>
      </c>
      <c r="AN50" s="48">
        <f t="shared" si="12"/>
        <v>14095710.886997601</v>
      </c>
      <c r="AO50" s="48">
        <f t="shared" si="13"/>
        <v>14516692.805961423</v>
      </c>
      <c r="AP50" s="48">
        <f t="shared" si="23"/>
        <v>33746427.517967284</v>
      </c>
      <c r="AQ50" s="49">
        <f t="shared" si="24"/>
        <v>5.9463403638111119E-3</v>
      </c>
    </row>
    <row r="51" spans="1:43" ht="14.25" x14ac:dyDescent="0.2">
      <c r="A51" s="2" t="s">
        <v>45</v>
      </c>
      <c r="B51" s="36">
        <v>92574446</v>
      </c>
      <c r="C51" s="36">
        <v>14354998.760000002</v>
      </c>
      <c r="D51" s="45">
        <f t="shared" si="0"/>
        <v>0.15506437662073616</v>
      </c>
      <c r="E51" s="46">
        <f t="shared" si="14"/>
        <v>2225948.9341108408</v>
      </c>
      <c r="F51" s="84">
        <f t="shared" si="1"/>
        <v>1.9577829881454478E-3</v>
      </c>
      <c r="G51" s="160">
        <v>32660</v>
      </c>
      <c r="H51" s="81">
        <f t="shared" si="2"/>
        <v>7.018436612085034E-3</v>
      </c>
      <c r="I51" s="35">
        <f t="shared" si="15"/>
        <v>5.9656711202722788E-3</v>
      </c>
      <c r="J51" s="36">
        <v>1658.08</v>
      </c>
      <c r="K51" s="78">
        <f t="shared" si="3"/>
        <v>2.5818691768656987E-2</v>
      </c>
      <c r="L51" s="37">
        <f t="shared" si="16"/>
        <v>3.8728037652985478E-3</v>
      </c>
      <c r="M51" s="84">
        <f t="shared" si="17"/>
        <v>9.8384748855708266E-3</v>
      </c>
      <c r="N51" s="38">
        <v>2382</v>
      </c>
      <c r="O51" s="39">
        <v>572</v>
      </c>
      <c r="P51" s="39">
        <v>6969</v>
      </c>
      <c r="Q51" s="39">
        <v>1381</v>
      </c>
      <c r="R51" s="40">
        <f t="shared" si="18"/>
        <v>1.3929466142391658E-3</v>
      </c>
      <c r="S51" s="40">
        <f t="shared" si="18"/>
        <v>1.6256835260279891E-3</v>
      </c>
      <c r="T51" s="40">
        <f t="shared" si="18"/>
        <v>5.2147872779843042E-3</v>
      </c>
      <c r="U51" s="40">
        <f t="shared" si="18"/>
        <v>8.8202232838566277E-3</v>
      </c>
      <c r="V51" s="41">
        <f t="shared" si="19"/>
        <v>1.7053640702108089E-2</v>
      </c>
      <c r="W51" s="42">
        <v>1795.99999997852</v>
      </c>
      <c r="X51" s="42">
        <v>775</v>
      </c>
      <c r="Y51" s="42">
        <v>2276</v>
      </c>
      <c r="Z51" s="42">
        <v>675</v>
      </c>
      <c r="AA51" s="43">
        <f t="shared" si="20"/>
        <v>1.41249158482677E-3</v>
      </c>
      <c r="AB51" s="43">
        <f t="shared" si="5"/>
        <v>2.6453401054040032E-3</v>
      </c>
      <c r="AC51" s="43">
        <f t="shared" si="5"/>
        <v>4.6216576237044739E-3</v>
      </c>
      <c r="AD51" s="43">
        <f t="shared" si="5"/>
        <v>1.2294186215940551E-2</v>
      </c>
      <c r="AE51" s="34">
        <f t="shared" si="21"/>
        <v>2.09736755298758E-2</v>
      </c>
      <c r="AF51" s="44">
        <f t="shared" si="6"/>
        <v>1.782762420039443E-2</v>
      </c>
      <c r="AG51" s="34">
        <f t="shared" si="7"/>
        <v>0.22986498286451734</v>
      </c>
      <c r="AH51" s="34">
        <f t="shared" si="8"/>
        <v>0</v>
      </c>
      <c r="AI51" s="35">
        <f t="shared" si="22"/>
        <v>0</v>
      </c>
      <c r="AJ51" s="35">
        <f t="shared" si="9"/>
        <v>0</v>
      </c>
      <c r="AK51" s="84">
        <f t="shared" si="10"/>
        <v>1.782762420039443E-2</v>
      </c>
      <c r="AM51" s="47">
        <f t="shared" si="11"/>
        <v>5555364.9524878114</v>
      </c>
      <c r="AN51" s="48">
        <f t="shared" si="12"/>
        <v>13958727.5239852</v>
      </c>
      <c r="AO51" s="48">
        <f t="shared" si="13"/>
        <v>25293650.846055098</v>
      </c>
      <c r="AP51" s="48">
        <f t="shared" si="23"/>
        <v>44807743.322528109</v>
      </c>
      <c r="AQ51" s="49">
        <f t="shared" si="24"/>
        <v>7.8954162655640384E-3</v>
      </c>
    </row>
    <row r="52" spans="1:43" ht="14.25" x14ac:dyDescent="0.2">
      <c r="A52" s="2" t="s">
        <v>46</v>
      </c>
      <c r="B52" s="36">
        <v>498373044</v>
      </c>
      <c r="C52" s="36">
        <v>245555607.23999998</v>
      </c>
      <c r="D52" s="45">
        <f t="shared" si="0"/>
        <v>0.49271446398694063</v>
      </c>
      <c r="E52" s="46">
        <f t="shared" si="14"/>
        <v>120988799.40024431</v>
      </c>
      <c r="F52" s="84">
        <f t="shared" si="1"/>
        <v>0.10641295925171729</v>
      </c>
      <c r="G52" s="160">
        <v>443273</v>
      </c>
      <c r="H52" s="81">
        <f t="shared" si="2"/>
        <v>9.5256688681836177E-2</v>
      </c>
      <c r="I52" s="35">
        <f t="shared" si="15"/>
        <v>8.0968185379560742E-2</v>
      </c>
      <c r="J52" s="36">
        <v>60.1</v>
      </c>
      <c r="K52" s="78">
        <f t="shared" si="3"/>
        <v>9.3584349084259205E-4</v>
      </c>
      <c r="L52" s="37">
        <f t="shared" si="16"/>
        <v>1.403765236263888E-4</v>
      </c>
      <c r="M52" s="84">
        <f t="shared" si="17"/>
        <v>8.1108561903187132E-2</v>
      </c>
      <c r="N52" s="38">
        <v>40580</v>
      </c>
      <c r="O52" s="39">
        <v>5745</v>
      </c>
      <c r="P52" s="39">
        <v>2165</v>
      </c>
      <c r="Q52" s="39">
        <v>472</v>
      </c>
      <c r="R52" s="40">
        <f t="shared" si="18"/>
        <v>2.3730383545686545E-2</v>
      </c>
      <c r="S52" s="40">
        <f t="shared" si="18"/>
        <v>1.6327887861941955E-2</v>
      </c>
      <c r="T52" s="40">
        <f t="shared" si="18"/>
        <v>1.6200336428233632E-3</v>
      </c>
      <c r="U52" s="40">
        <f t="shared" si="18"/>
        <v>3.0145875380016862E-3</v>
      </c>
      <c r="V52" s="41">
        <f t="shared" si="19"/>
        <v>4.4692892588453548E-2</v>
      </c>
      <c r="W52" s="42">
        <v>18155.999999995089</v>
      </c>
      <c r="X52" s="42">
        <v>4217</v>
      </c>
      <c r="Y52" s="42">
        <v>161</v>
      </c>
      <c r="Z52" s="42">
        <v>91</v>
      </c>
      <c r="AA52" s="43">
        <f t="shared" si="20"/>
        <v>1.4279063036979183E-2</v>
      </c>
      <c r="AB52" s="43">
        <f t="shared" si="5"/>
        <v>1.4394063515469267E-2</v>
      </c>
      <c r="AC52" s="43">
        <f t="shared" si="5"/>
        <v>3.2692745053445531E-4</v>
      </c>
      <c r="AD52" s="43">
        <f t="shared" si="5"/>
        <v>1.6574384380008743E-3</v>
      </c>
      <c r="AE52" s="34">
        <f t="shared" si="21"/>
        <v>3.0657492440983779E-2</v>
      </c>
      <c r="AF52" s="44">
        <f t="shared" si="6"/>
        <v>2.6058868574836212E-2</v>
      </c>
      <c r="AG52" s="34">
        <f t="shared" si="7"/>
        <v>-0.3140409880540117</v>
      </c>
      <c r="AH52" s="34">
        <f t="shared" si="8"/>
        <v>-0.3140409880540117</v>
      </c>
      <c r="AI52" s="35">
        <f t="shared" si="22"/>
        <v>5.8518530393766088E-2</v>
      </c>
      <c r="AJ52" s="35">
        <f t="shared" si="9"/>
        <v>8.7777795590649136E-3</v>
      </c>
      <c r="AK52" s="84">
        <f t="shared" si="10"/>
        <v>3.4836648133901124E-2</v>
      </c>
      <c r="AM52" s="47">
        <f t="shared" si="11"/>
        <v>301955236.04865706</v>
      </c>
      <c r="AN52" s="48">
        <f t="shared" si="12"/>
        <v>115075997.92009707</v>
      </c>
      <c r="AO52" s="48">
        <f t="shared" si="13"/>
        <v>49425880.007403165</v>
      </c>
      <c r="AP52" s="48">
        <f t="shared" si="23"/>
        <v>466457113.97615731</v>
      </c>
      <c r="AQ52" s="49">
        <f t="shared" si="24"/>
        <v>8.2192782135130704E-2</v>
      </c>
    </row>
    <row r="53" spans="1:43" ht="14.25" x14ac:dyDescent="0.2">
      <c r="A53" s="2" t="s">
        <v>47</v>
      </c>
      <c r="B53" s="36">
        <v>643811314</v>
      </c>
      <c r="C53" s="36">
        <v>463354390.29000002</v>
      </c>
      <c r="D53" s="45">
        <f t="shared" si="0"/>
        <v>0.71970526179662642</v>
      </c>
      <c r="E53" s="46">
        <f t="shared" si="14"/>
        <v>333478592.76828068</v>
      </c>
      <c r="F53" s="84">
        <f t="shared" si="1"/>
        <v>0.29330354610907411</v>
      </c>
      <c r="G53" s="160">
        <v>122659</v>
      </c>
      <c r="H53" s="81">
        <f t="shared" si="2"/>
        <v>2.6358677783274286E-2</v>
      </c>
      <c r="I53" s="35">
        <f t="shared" si="15"/>
        <v>2.2404876115783144E-2</v>
      </c>
      <c r="J53" s="36">
        <v>72.010000000000005</v>
      </c>
      <c r="K53" s="78">
        <f t="shared" si="3"/>
        <v>1.1212993307084037E-3</v>
      </c>
      <c r="L53" s="37">
        <f t="shared" si="16"/>
        <v>1.6819489960626053E-4</v>
      </c>
      <c r="M53" s="84">
        <f t="shared" si="17"/>
        <v>2.2573071015389405E-2</v>
      </c>
      <c r="N53" s="38">
        <v>9903</v>
      </c>
      <c r="O53" s="39">
        <v>1776</v>
      </c>
      <c r="P53" s="39">
        <v>642</v>
      </c>
      <c r="Q53" s="39">
        <v>85</v>
      </c>
      <c r="R53" s="40">
        <f t="shared" si="18"/>
        <v>5.7910790599540133E-3</v>
      </c>
      <c r="S53" s="40">
        <f t="shared" si="18"/>
        <v>5.0475768220729174E-3</v>
      </c>
      <c r="T53" s="40">
        <f t="shared" si="18"/>
        <v>4.8039796706355622E-4</v>
      </c>
      <c r="U53" s="40">
        <f t="shared" si="18"/>
        <v>5.4288123036047315E-4</v>
      </c>
      <c r="V53" s="41">
        <f t="shared" si="19"/>
        <v>1.186193507945096E-2</v>
      </c>
      <c r="W53" s="42">
        <v>4908.0000000006539</v>
      </c>
      <c r="X53" s="42">
        <v>1283</v>
      </c>
      <c r="Y53" s="42">
        <v>140</v>
      </c>
      <c r="Z53" s="42">
        <v>21</v>
      </c>
      <c r="AA53" s="43">
        <f t="shared" si="20"/>
        <v>3.8599714356423293E-3</v>
      </c>
      <c r="AB53" s="43">
        <f t="shared" si="5"/>
        <v>4.3793178777204334E-3</v>
      </c>
      <c r="AC53" s="43">
        <f t="shared" si="5"/>
        <v>2.8428473959517855E-4</v>
      </c>
      <c r="AD53" s="43">
        <f t="shared" si="5"/>
        <v>3.8248579338481716E-4</v>
      </c>
      <c r="AE53" s="34">
        <f t="shared" si="21"/>
        <v>8.9060598463427572E-3</v>
      </c>
      <c r="AF53" s="44">
        <f t="shared" si="6"/>
        <v>7.5701508693913431E-3</v>
      </c>
      <c r="AG53" s="34">
        <f t="shared" si="7"/>
        <v>-0.24918996886341233</v>
      </c>
      <c r="AH53" s="34">
        <f t="shared" si="8"/>
        <v>-0.24918996886341233</v>
      </c>
      <c r="AI53" s="35">
        <f t="shared" si="22"/>
        <v>4.6434164078757868E-2</v>
      </c>
      <c r="AJ53" s="35">
        <f t="shared" si="9"/>
        <v>6.9651246118136801E-3</v>
      </c>
      <c r="AK53" s="84">
        <f t="shared" si="10"/>
        <v>1.4535275481205024E-2</v>
      </c>
      <c r="AM53" s="47">
        <f t="shared" si="11"/>
        <v>832272141.68319821</v>
      </c>
      <c r="AN53" s="48">
        <f t="shared" si="12"/>
        <v>32026442.243147232</v>
      </c>
      <c r="AO53" s="48">
        <f t="shared" si="13"/>
        <v>20622500.162679628</v>
      </c>
      <c r="AP53" s="48">
        <f t="shared" si="23"/>
        <v>884921084.08902514</v>
      </c>
      <c r="AQ53" s="49">
        <f t="shared" si="24"/>
        <v>0.15592885967868567</v>
      </c>
    </row>
    <row r="54" spans="1:43" ht="14.25" x14ac:dyDescent="0.2">
      <c r="A54" s="2" t="s">
        <v>48</v>
      </c>
      <c r="B54" s="36">
        <v>196135752</v>
      </c>
      <c r="C54" s="36">
        <v>90712185.010000005</v>
      </c>
      <c r="D54" s="45">
        <f t="shared" si="0"/>
        <v>0.46249693941571657</v>
      </c>
      <c r="E54" s="46">
        <f t="shared" si="14"/>
        <v>41954107.934837244</v>
      </c>
      <c r="F54" s="84">
        <f t="shared" si="1"/>
        <v>3.6899785767301116E-2</v>
      </c>
      <c r="G54" s="160">
        <v>268955</v>
      </c>
      <c r="H54" s="81">
        <f t="shared" si="2"/>
        <v>5.7796804011124629E-2</v>
      </c>
      <c r="I54" s="35">
        <f t="shared" si="15"/>
        <v>4.9127283409455935E-2</v>
      </c>
      <c r="J54" s="36">
        <v>885.01</v>
      </c>
      <c r="K54" s="78">
        <f t="shared" si="3"/>
        <v>1.3780879331624E-2</v>
      </c>
      <c r="L54" s="37">
        <f t="shared" si="16"/>
        <v>2.0671318997435998E-3</v>
      </c>
      <c r="M54" s="84">
        <f t="shared" si="17"/>
        <v>5.1194415309199534E-2</v>
      </c>
      <c r="N54" s="38">
        <v>25924</v>
      </c>
      <c r="O54" s="39">
        <v>5313</v>
      </c>
      <c r="P54" s="39">
        <v>11983</v>
      </c>
      <c r="Q54" s="39">
        <v>721</v>
      </c>
      <c r="R54" s="40">
        <f t="shared" si="18"/>
        <v>1.5159843840275454E-2</v>
      </c>
      <c r="S54" s="40">
        <f t="shared" si="18"/>
        <v>1.5100098905221513E-2</v>
      </c>
      <c r="T54" s="40">
        <f t="shared" si="18"/>
        <v>8.9666804350819213E-3</v>
      </c>
      <c r="U54" s="40">
        <f t="shared" si="18"/>
        <v>4.6049102010576604E-3</v>
      </c>
      <c r="V54" s="41">
        <f t="shared" si="19"/>
        <v>4.3831533381636548E-2</v>
      </c>
      <c r="W54" s="42">
        <v>21053.000000219407</v>
      </c>
      <c r="X54" s="42">
        <v>4306</v>
      </c>
      <c r="Y54" s="42">
        <v>2328</v>
      </c>
      <c r="Z54" s="42">
        <v>359</v>
      </c>
      <c r="AA54" s="43">
        <f t="shared" si="20"/>
        <v>1.655745285970131E-2</v>
      </c>
      <c r="AB54" s="43">
        <f t="shared" si="5"/>
        <v>1.4697850959831791E-2</v>
      </c>
      <c r="AC54" s="43">
        <f t="shared" si="5"/>
        <v>4.7272490984112542E-3</v>
      </c>
      <c r="AD54" s="43">
        <f t="shared" si="5"/>
        <v>6.5386857059594929E-3</v>
      </c>
      <c r="AE54" s="34">
        <f t="shared" si="21"/>
        <v>4.2521238623903848E-2</v>
      </c>
      <c r="AF54" s="44">
        <f t="shared" si="6"/>
        <v>3.6143052830318267E-2</v>
      </c>
      <c r="AG54" s="34">
        <f t="shared" si="7"/>
        <v>-2.9893883618537846E-2</v>
      </c>
      <c r="AH54" s="34">
        <f t="shared" si="8"/>
        <v>-2.9893883618537846E-2</v>
      </c>
      <c r="AI54" s="35">
        <f t="shared" si="22"/>
        <v>5.5704389034027758E-3</v>
      </c>
      <c r="AJ54" s="35">
        <f t="shared" si="9"/>
        <v>8.3556583551041631E-4</v>
      </c>
      <c r="AK54" s="84">
        <f t="shared" si="10"/>
        <v>3.6978618665828682E-2</v>
      </c>
      <c r="AM54" s="47">
        <f t="shared" si="11"/>
        <v>104706077.15319668</v>
      </c>
      <c r="AN54" s="48">
        <f t="shared" si="12"/>
        <v>72634112.742301464</v>
      </c>
      <c r="AO54" s="48">
        <f t="shared" si="13"/>
        <v>52464885.886600234</v>
      </c>
      <c r="AP54" s="48">
        <f t="shared" si="23"/>
        <v>229805075.78209838</v>
      </c>
      <c r="AQ54" s="49">
        <f t="shared" si="24"/>
        <v>4.049315137740761E-2</v>
      </c>
    </row>
    <row r="55" spans="1:43" ht="14.25" x14ac:dyDescent="0.2">
      <c r="A55" s="2" t="s">
        <v>49</v>
      </c>
      <c r="B55" s="36">
        <v>120711722</v>
      </c>
      <c r="C55" s="36">
        <v>39775418</v>
      </c>
      <c r="D55" s="45">
        <f t="shared" si="0"/>
        <v>0.32950750217944863</v>
      </c>
      <c r="E55" s="46">
        <f t="shared" si="14"/>
        <v>13106298.633323479</v>
      </c>
      <c r="F55" s="84">
        <f t="shared" si="1"/>
        <v>1.152734822828462E-2</v>
      </c>
      <c r="G55" s="160">
        <v>40469</v>
      </c>
      <c r="H55" s="81">
        <f t="shared" si="2"/>
        <v>8.6965435166708287E-3</v>
      </c>
      <c r="I55" s="35">
        <f t="shared" si="15"/>
        <v>7.3920619891702042E-3</v>
      </c>
      <c r="J55" s="36">
        <v>746.48</v>
      </c>
      <c r="K55" s="78">
        <f t="shared" si="3"/>
        <v>1.1623767870951384E-2</v>
      </c>
      <c r="L55" s="37">
        <f t="shared" si="16"/>
        <v>1.7435651806427075E-3</v>
      </c>
      <c r="M55" s="84">
        <f t="shared" si="17"/>
        <v>9.1356271698129123E-3</v>
      </c>
      <c r="N55" s="38">
        <v>4577</v>
      </c>
      <c r="O55" s="39">
        <v>1003</v>
      </c>
      <c r="P55" s="39">
        <v>3403</v>
      </c>
      <c r="Q55" s="39">
        <v>757</v>
      </c>
      <c r="R55" s="40">
        <f t="shared" si="18"/>
        <v>2.6765393171169867E-3</v>
      </c>
      <c r="S55" s="40">
        <f t="shared" si="18"/>
        <v>2.8506303786819459E-3</v>
      </c>
      <c r="T55" s="40">
        <f t="shared" si="18"/>
        <v>2.5464085388119655E-3</v>
      </c>
      <c r="U55" s="40">
        <f t="shared" si="18"/>
        <v>4.8348363692103311E-3</v>
      </c>
      <c r="V55" s="41">
        <f t="shared" si="19"/>
        <v>1.2908414603821229E-2</v>
      </c>
      <c r="W55" s="42">
        <v>2792.0000000464884</v>
      </c>
      <c r="X55" s="42">
        <v>666</v>
      </c>
      <c r="Y55" s="42">
        <v>1225</v>
      </c>
      <c r="Z55" s="42">
        <v>325</v>
      </c>
      <c r="AA55" s="43">
        <f t="shared" si="20"/>
        <v>2.1958109715752628E-3</v>
      </c>
      <c r="AB55" s="43">
        <f t="shared" si="5"/>
        <v>2.2732858196116983E-3</v>
      </c>
      <c r="AC55" s="43">
        <f t="shared" si="5"/>
        <v>2.4874914714578121E-3</v>
      </c>
      <c r="AD55" s="43">
        <f t="shared" si="5"/>
        <v>5.9194229928602651E-3</v>
      </c>
      <c r="AE55" s="34">
        <f t="shared" si="21"/>
        <v>1.2876011255505039E-2</v>
      </c>
      <c r="AF55" s="44">
        <f t="shared" si="6"/>
        <v>1.0944609567179282E-2</v>
      </c>
      <c r="AG55" s="34">
        <f t="shared" si="7"/>
        <v>-2.5102500431461333E-3</v>
      </c>
      <c r="AH55" s="34">
        <f t="shared" si="8"/>
        <v>-2.5102500431461333E-3</v>
      </c>
      <c r="AI55" s="35">
        <f t="shared" si="22"/>
        <v>4.6776105360022324E-4</v>
      </c>
      <c r="AJ55" s="35">
        <f t="shared" si="9"/>
        <v>7.0164158040033481E-5</v>
      </c>
      <c r="AK55" s="84">
        <f t="shared" si="10"/>
        <v>1.1014773725219315E-2</v>
      </c>
      <c r="AM55" s="47">
        <f t="shared" si="11"/>
        <v>32709767.492257569</v>
      </c>
      <c r="AN55" s="48">
        <f t="shared" si="12"/>
        <v>12961534.374718865</v>
      </c>
      <c r="AO55" s="48">
        <f t="shared" si="13"/>
        <v>15627648.284611866</v>
      </c>
      <c r="AP55" s="48">
        <f t="shared" si="23"/>
        <v>61298950.151588298</v>
      </c>
      <c r="AQ55" s="49">
        <f t="shared" si="24"/>
        <v>1.0801274337900367E-2</v>
      </c>
    </row>
    <row r="56" spans="1:43" ht="14.25" x14ac:dyDescent="0.2">
      <c r="A56" s="2" t="s">
        <v>50</v>
      </c>
      <c r="B56" s="36">
        <v>4478168</v>
      </c>
      <c r="C56" s="36">
        <v>1465753</v>
      </c>
      <c r="D56" s="45">
        <f t="shared" si="0"/>
        <v>0.32731085568920149</v>
      </c>
      <c r="E56" s="46">
        <f t="shared" si="14"/>
        <v>479756.86865901417</v>
      </c>
      <c r="F56" s="84">
        <f t="shared" si="1"/>
        <v>4.2195929183871272E-4</v>
      </c>
      <c r="G56" s="160">
        <v>1971</v>
      </c>
      <c r="H56" s="81">
        <f t="shared" si="2"/>
        <v>4.2355598782668714E-4</v>
      </c>
      <c r="I56" s="35">
        <f t="shared" si="15"/>
        <v>3.6002258965268404E-4</v>
      </c>
      <c r="J56" s="36">
        <v>1766.28</v>
      </c>
      <c r="K56" s="78">
        <f t="shared" si="3"/>
        <v>2.7503521480955966E-2</v>
      </c>
      <c r="L56" s="37">
        <f t="shared" si="16"/>
        <v>4.1255282221433947E-3</v>
      </c>
      <c r="M56" s="84">
        <f t="shared" si="17"/>
        <v>4.4855508117960788E-3</v>
      </c>
      <c r="N56" s="38">
        <v>477</v>
      </c>
      <c r="O56" s="39">
        <v>88</v>
      </c>
      <c r="P56" s="39">
        <v>1037</v>
      </c>
      <c r="Q56" s="39">
        <v>127</v>
      </c>
      <c r="R56" s="40">
        <f t="shared" si="18"/>
        <v>2.7894019101262893E-4</v>
      </c>
      <c r="S56" s="40">
        <f t="shared" si="18"/>
        <v>2.5010515785045984E-4</v>
      </c>
      <c r="T56" s="40">
        <f t="shared" si="18"/>
        <v>7.7596992499206823E-4</v>
      </c>
      <c r="U56" s="40">
        <f t="shared" si="18"/>
        <v>8.1112842653858932E-4</v>
      </c>
      <c r="V56" s="41">
        <f t="shared" si="19"/>
        <v>2.1161437003937465E-3</v>
      </c>
      <c r="W56" s="42">
        <v>265.99999999676999</v>
      </c>
      <c r="X56" s="42">
        <v>85</v>
      </c>
      <c r="Y56" s="42">
        <v>641</v>
      </c>
      <c r="Z56" s="42">
        <v>46</v>
      </c>
      <c r="AA56" s="43">
        <f t="shared" si="20"/>
        <v>2.0919975588187754E-4</v>
      </c>
      <c r="AB56" s="43">
        <f t="shared" si="5"/>
        <v>2.9013407607656811E-4</v>
      </c>
      <c r="AC56" s="43">
        <f t="shared" si="5"/>
        <v>1.3016179862893531E-3</v>
      </c>
      <c r="AD56" s="43">
        <f t="shared" si="5"/>
        <v>8.3782602360483755E-4</v>
      </c>
      <c r="AE56" s="34">
        <f t="shared" si="21"/>
        <v>2.6387778418526363E-3</v>
      </c>
      <c r="AF56" s="44">
        <f t="shared" si="6"/>
        <v>2.2429611655747409E-3</v>
      </c>
      <c r="AG56" s="34">
        <f t="shared" si="7"/>
        <v>0.24697478784717899</v>
      </c>
      <c r="AH56" s="34">
        <f t="shared" si="8"/>
        <v>0</v>
      </c>
      <c r="AI56" s="35">
        <f t="shared" si="22"/>
        <v>0</v>
      </c>
      <c r="AJ56" s="35">
        <f t="shared" si="9"/>
        <v>0</v>
      </c>
      <c r="AK56" s="84">
        <f t="shared" si="10"/>
        <v>2.2429611655747409E-3</v>
      </c>
      <c r="AM56" s="47">
        <f t="shared" si="11"/>
        <v>1197343.0535719877</v>
      </c>
      <c r="AN56" s="48">
        <f t="shared" si="12"/>
        <v>6364053.606385693</v>
      </c>
      <c r="AO56" s="48">
        <f t="shared" si="13"/>
        <v>3182290.3571219034</v>
      </c>
      <c r="AP56" s="48">
        <f t="shared" si="23"/>
        <v>10743687.017079584</v>
      </c>
      <c r="AQ56" s="49">
        <f t="shared" si="24"/>
        <v>1.8931076402620615E-3</v>
      </c>
    </row>
    <row r="57" spans="1:43" ht="14.25" x14ac:dyDescent="0.2">
      <c r="A57" s="2" t="s">
        <v>51</v>
      </c>
      <c r="B57" s="36">
        <v>2641843</v>
      </c>
      <c r="C57" s="36">
        <v>586983</v>
      </c>
      <c r="D57" s="45">
        <f t="shared" si="0"/>
        <v>0.22218693540834941</v>
      </c>
      <c r="E57" s="46">
        <f t="shared" si="14"/>
        <v>130419.95390679916</v>
      </c>
      <c r="F57" s="84">
        <f t="shared" si="1"/>
        <v>1.1470791767082401E-4</v>
      </c>
      <c r="G57" s="160">
        <v>4113</v>
      </c>
      <c r="H57" s="81">
        <f t="shared" si="2"/>
        <v>8.8385884217715089E-4</v>
      </c>
      <c r="I57" s="35">
        <f t="shared" si="15"/>
        <v>7.5128001585057823E-4</v>
      </c>
      <c r="J57" s="36">
        <v>879.68</v>
      </c>
      <c r="K57" s="78">
        <f t="shared" si="3"/>
        <v>1.3697883561138291E-2</v>
      </c>
      <c r="L57" s="37">
        <f t="shared" si="16"/>
        <v>2.0546825341707436E-3</v>
      </c>
      <c r="M57" s="84">
        <f t="shared" si="17"/>
        <v>2.8059625500213218E-3</v>
      </c>
      <c r="N57" s="38">
        <v>765</v>
      </c>
      <c r="O57" s="39">
        <v>138</v>
      </c>
      <c r="P57" s="39">
        <v>1343</v>
      </c>
      <c r="Q57" s="39">
        <v>81</v>
      </c>
      <c r="R57" s="40">
        <f t="shared" si="18"/>
        <v>4.4735691011459354E-4</v>
      </c>
      <c r="S57" s="40">
        <f t="shared" si="18"/>
        <v>3.9221036117458475E-4</v>
      </c>
      <c r="T57" s="40">
        <f t="shared" si="18"/>
        <v>1.0049446569569407E-3</v>
      </c>
      <c r="U57" s="40">
        <f t="shared" si="18"/>
        <v>5.1733387834350972E-4</v>
      </c>
      <c r="V57" s="41">
        <f t="shared" si="19"/>
        <v>2.3618458065896289E-3</v>
      </c>
      <c r="W57" s="42">
        <v>609.99999999842794</v>
      </c>
      <c r="X57" s="42">
        <v>123</v>
      </c>
      <c r="Y57" s="42">
        <v>468</v>
      </c>
      <c r="Z57" s="42">
        <v>34</v>
      </c>
      <c r="AA57" s="43">
        <f t="shared" si="20"/>
        <v>4.7974380108709025E-4</v>
      </c>
      <c r="AB57" s="43">
        <f t="shared" si="5"/>
        <v>4.198410747931515E-4</v>
      </c>
      <c r="AC57" s="43">
        <f t="shared" si="5"/>
        <v>9.5032327236102532E-4</v>
      </c>
      <c r="AD57" s="43">
        <f t="shared" si="5"/>
        <v>6.1926271309922776E-4</v>
      </c>
      <c r="AE57" s="34">
        <f t="shared" si="21"/>
        <v>2.4691708613404947E-3</v>
      </c>
      <c r="AF57" s="44">
        <f t="shared" si="6"/>
        <v>2.0987952321394206E-3</v>
      </c>
      <c r="AG57" s="34">
        <f t="shared" si="7"/>
        <v>4.5441177595686125E-2</v>
      </c>
      <c r="AH57" s="34">
        <f t="shared" si="8"/>
        <v>0</v>
      </c>
      <c r="AI57" s="35">
        <f t="shared" si="22"/>
        <v>0</v>
      </c>
      <c r="AJ57" s="35">
        <f t="shared" si="9"/>
        <v>0</v>
      </c>
      <c r="AK57" s="84">
        <f t="shared" si="10"/>
        <v>2.0987952321394206E-3</v>
      </c>
      <c r="AM57" s="47">
        <f t="shared" si="11"/>
        <v>325492.84035050101</v>
      </c>
      <c r="AN57" s="48">
        <f t="shared" si="12"/>
        <v>3981070.96209575</v>
      </c>
      <c r="AO57" s="48">
        <f t="shared" si="13"/>
        <v>2977749.2055237037</v>
      </c>
      <c r="AP57" s="48">
        <f t="shared" si="23"/>
        <v>7284313.007969955</v>
      </c>
      <c r="AQ57" s="49">
        <f t="shared" si="24"/>
        <v>1.2835434043755977E-3</v>
      </c>
    </row>
    <row r="58" spans="1:43" ht="15.75" thickBot="1" x14ac:dyDescent="0.3">
      <c r="A58" s="3" t="s">
        <v>52</v>
      </c>
      <c r="B58" s="87">
        <f>SUM(B7:B57)</f>
        <v>4498639132</v>
      </c>
      <c r="C58" s="52">
        <v>2178859840.21</v>
      </c>
      <c r="D58" s="63">
        <f>+C58/$J$58</f>
        <v>33927.983343075852</v>
      </c>
      <c r="E58" s="64">
        <f t="shared" ref="E58:J58" si="25">SUM(E7:E57)</f>
        <v>1136974295.7156959</v>
      </c>
      <c r="F58" s="85">
        <f t="shared" si="25"/>
        <v>0.99999999999999989</v>
      </c>
      <c r="G58" s="161">
        <f t="shared" si="25"/>
        <v>4653458</v>
      </c>
      <c r="H58" s="82">
        <f t="shared" si="25"/>
        <v>0.99999999999999989</v>
      </c>
      <c r="I58" s="51">
        <f t="shared" si="25"/>
        <v>0.85000000000000009</v>
      </c>
      <c r="J58" s="52">
        <f t="shared" si="25"/>
        <v>64220.140000000021</v>
      </c>
      <c r="K58" s="79">
        <f t="shared" si="3"/>
        <v>1</v>
      </c>
      <c r="L58" s="53">
        <f>SUM(L7:L57)</f>
        <v>0.15</v>
      </c>
      <c r="M58" s="85">
        <f>SUM(M7:M57)</f>
        <v>1</v>
      </c>
      <c r="N58" s="54">
        <v>427511</v>
      </c>
      <c r="O58" s="55">
        <v>87963</v>
      </c>
      <c r="P58" s="55">
        <v>334098</v>
      </c>
      <c r="Q58" s="55">
        <v>39143</v>
      </c>
      <c r="R58" s="56">
        <f>SUM(R7:R57)</f>
        <v>0.25</v>
      </c>
      <c r="S58" s="56">
        <f>SUM(S7:S57)</f>
        <v>0.24999999999999994</v>
      </c>
      <c r="T58" s="56">
        <f>SUM(T7:T57)</f>
        <v>0.25</v>
      </c>
      <c r="U58" s="56">
        <f>SUM(U7:U57)</f>
        <v>0.25</v>
      </c>
      <c r="V58" s="57">
        <f>SUM(V7:V57)</f>
        <v>1</v>
      </c>
      <c r="W58" s="58">
        <v>317877.99999509094</v>
      </c>
      <c r="X58" s="58">
        <v>73242</v>
      </c>
      <c r="Y58" s="58">
        <v>123116</v>
      </c>
      <c r="Z58" s="58">
        <v>13726</v>
      </c>
      <c r="AA58" s="59">
        <f t="shared" ref="AA58:AF58" si="26">SUM(AA7:AA57)</f>
        <v>0.24999999999999994</v>
      </c>
      <c r="AB58" s="59">
        <f t="shared" si="26"/>
        <v>0.24999999999999997</v>
      </c>
      <c r="AC58" s="59">
        <f t="shared" si="26"/>
        <v>0.24999999999999997</v>
      </c>
      <c r="AD58" s="59">
        <f t="shared" si="26"/>
        <v>0.25000000000000006</v>
      </c>
      <c r="AE58" s="57">
        <f t="shared" si="26"/>
        <v>1.0000000000000002</v>
      </c>
      <c r="AF58" s="60">
        <f t="shared" si="26"/>
        <v>0.85</v>
      </c>
      <c r="AG58" s="61"/>
      <c r="AH58" s="50">
        <f>SUM(AH7:AH57)</f>
        <v>-5.3665221245451189</v>
      </c>
      <c r="AI58" s="62">
        <f>SUM(AI7:AI57)</f>
        <v>1.0000000000000002</v>
      </c>
      <c r="AJ58" s="51">
        <f>SUM(AJ7:AJ57)</f>
        <v>0.15000000000000005</v>
      </c>
      <c r="AK58" s="85">
        <f>SUM(AK7:AK57)</f>
        <v>1.0000000000000002</v>
      </c>
      <c r="AM58" s="65">
        <f>SUM(AM7:AM57)</f>
        <v>2837579540.8000002</v>
      </c>
      <c r="AN58" s="66">
        <f>SUM(AN7:AN57)</f>
        <v>1418789770.4000003</v>
      </c>
      <c r="AO58" s="66">
        <f>SUM(AO7:AO57)</f>
        <v>1418789770.3999999</v>
      </c>
      <c r="AP58" s="66">
        <f>SUM(AP7:AP57)</f>
        <v>5675159081.6000004</v>
      </c>
      <c r="AQ58" s="67">
        <f>SUM(AQ7:AQ57)</f>
        <v>1</v>
      </c>
    </row>
    <row r="59" spans="1:43" ht="13.5" thickTop="1" x14ac:dyDescent="0.2">
      <c r="K59" s="69"/>
      <c r="V59" s="71"/>
    </row>
    <row r="60" spans="1:43" ht="66" customHeight="1" x14ac:dyDescent="0.2">
      <c r="B60" s="239" t="s">
        <v>172</v>
      </c>
      <c r="C60" s="239"/>
      <c r="D60" s="239"/>
      <c r="E60" s="239"/>
      <c r="F60" s="239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</row>
    <row r="61" spans="1:43" s="6" customFormat="1" x14ac:dyDescent="0.2">
      <c r="I61" s="72"/>
      <c r="L61" s="72"/>
      <c r="M61" s="73"/>
      <c r="V61" s="74"/>
      <c r="W61" s="74"/>
      <c r="AF61" s="72"/>
      <c r="AI61" s="72"/>
      <c r="AJ61" s="72"/>
      <c r="AK61" s="73"/>
    </row>
    <row r="62" spans="1:43" x14ac:dyDescent="0.2">
      <c r="V62" s="71"/>
    </row>
    <row r="63" spans="1:43" x14ac:dyDescent="0.2">
      <c r="V63" s="71"/>
    </row>
    <row r="64" spans="1:43" x14ac:dyDescent="0.2">
      <c r="V64" s="71"/>
    </row>
    <row r="65" spans="9:38" x14ac:dyDescent="0.2">
      <c r="I65" s="8"/>
      <c r="L65" s="8"/>
      <c r="M65" s="8"/>
      <c r="V65" s="71"/>
      <c r="AF65" s="8"/>
      <c r="AI65" s="8"/>
      <c r="AJ65" s="8"/>
      <c r="AK65" s="8"/>
      <c r="AL65" s="8"/>
    </row>
    <row r="66" spans="9:38" x14ac:dyDescent="0.2">
      <c r="I66" s="8"/>
      <c r="L66" s="8"/>
      <c r="M66" s="8"/>
      <c r="V66" s="71"/>
      <c r="AF66" s="8"/>
      <c r="AI66" s="8"/>
      <c r="AJ66" s="8"/>
      <c r="AK66" s="8"/>
      <c r="AL66" s="8"/>
    </row>
    <row r="67" spans="9:38" x14ac:dyDescent="0.2">
      <c r="I67" s="8"/>
      <c r="L67" s="8"/>
      <c r="M67" s="8"/>
      <c r="V67" s="71"/>
      <c r="AF67" s="8"/>
      <c r="AI67" s="8"/>
      <c r="AJ67" s="8"/>
      <c r="AK67" s="8"/>
      <c r="AL67" s="8"/>
    </row>
    <row r="68" spans="9:38" x14ac:dyDescent="0.2">
      <c r="I68" s="8"/>
      <c r="L68" s="8"/>
      <c r="M68" s="8"/>
      <c r="V68" s="71"/>
      <c r="AF68" s="8"/>
      <c r="AI68" s="8"/>
      <c r="AJ68" s="8"/>
      <c r="AK68" s="8"/>
      <c r="AL68" s="8"/>
    </row>
    <row r="69" spans="9:38" x14ac:dyDescent="0.2">
      <c r="I69" s="8"/>
      <c r="L69" s="8"/>
      <c r="M69" s="8"/>
      <c r="V69" s="71"/>
      <c r="AF69" s="8"/>
      <c r="AI69" s="8"/>
      <c r="AJ69" s="8"/>
      <c r="AK69" s="8"/>
      <c r="AL69" s="8"/>
    </row>
    <row r="70" spans="9:38" x14ac:dyDescent="0.2">
      <c r="I70" s="8"/>
      <c r="L70" s="8"/>
      <c r="M70" s="8"/>
      <c r="V70" s="71"/>
      <c r="AF70" s="8"/>
      <c r="AI70" s="8"/>
      <c r="AJ70" s="8"/>
      <c r="AK70" s="8"/>
      <c r="AL70" s="8"/>
    </row>
    <row r="71" spans="9:38" x14ac:dyDescent="0.2">
      <c r="I71" s="8"/>
      <c r="L71" s="8"/>
      <c r="M71" s="8"/>
      <c r="V71" s="71"/>
      <c r="AF71" s="8"/>
      <c r="AI71" s="8"/>
      <c r="AJ71" s="8"/>
      <c r="AK71" s="8"/>
      <c r="AL71" s="8"/>
    </row>
    <row r="72" spans="9:38" x14ac:dyDescent="0.2">
      <c r="I72" s="8"/>
      <c r="L72" s="8"/>
      <c r="M72" s="8"/>
      <c r="V72" s="71"/>
      <c r="AF72" s="8"/>
      <c r="AI72" s="8"/>
      <c r="AJ72" s="8"/>
      <c r="AK72" s="8"/>
      <c r="AL72" s="8"/>
    </row>
    <row r="73" spans="9:38" x14ac:dyDescent="0.2">
      <c r="I73" s="8"/>
      <c r="L73" s="8"/>
      <c r="M73" s="8"/>
      <c r="V73" s="71"/>
      <c r="AF73" s="8"/>
      <c r="AI73" s="8"/>
      <c r="AJ73" s="8"/>
      <c r="AK73" s="8"/>
      <c r="AL73" s="8"/>
    </row>
    <row r="74" spans="9:38" x14ac:dyDescent="0.2">
      <c r="I74" s="8"/>
      <c r="L74" s="8"/>
      <c r="M74" s="8"/>
      <c r="V74" s="71"/>
      <c r="AF74" s="8"/>
      <c r="AI74" s="8"/>
      <c r="AJ74" s="8"/>
      <c r="AK74" s="8"/>
      <c r="AL74" s="8"/>
    </row>
    <row r="75" spans="9:38" x14ac:dyDescent="0.2">
      <c r="I75" s="8"/>
      <c r="L75" s="8"/>
      <c r="M75" s="8"/>
      <c r="V75" s="71"/>
      <c r="AF75" s="8"/>
      <c r="AI75" s="8"/>
      <c r="AJ75" s="8"/>
      <c r="AK75" s="8"/>
      <c r="AL75" s="8"/>
    </row>
    <row r="76" spans="9:38" x14ac:dyDescent="0.2">
      <c r="I76" s="8"/>
      <c r="L76" s="8"/>
      <c r="M76" s="8"/>
      <c r="V76" s="71"/>
      <c r="AF76" s="8"/>
      <c r="AI76" s="8"/>
      <c r="AJ76" s="8"/>
      <c r="AK76" s="8"/>
      <c r="AL76" s="8"/>
    </row>
    <row r="77" spans="9:38" x14ac:dyDescent="0.2">
      <c r="I77" s="8"/>
      <c r="L77" s="8"/>
      <c r="M77" s="8"/>
      <c r="V77" s="71"/>
      <c r="AF77" s="8"/>
      <c r="AI77" s="8"/>
      <c r="AJ77" s="8"/>
      <c r="AK77" s="8"/>
      <c r="AL77" s="8"/>
    </row>
    <row r="78" spans="9:38" x14ac:dyDescent="0.2">
      <c r="I78" s="8"/>
      <c r="L78" s="8"/>
      <c r="M78" s="8"/>
      <c r="V78" s="71"/>
      <c r="AF78" s="8"/>
      <c r="AI78" s="8"/>
      <c r="AJ78" s="8"/>
      <c r="AK78" s="8"/>
      <c r="AL78" s="8"/>
    </row>
    <row r="79" spans="9:38" x14ac:dyDescent="0.2">
      <c r="I79" s="8"/>
      <c r="L79" s="8"/>
      <c r="M79" s="8"/>
      <c r="V79" s="71"/>
      <c r="AF79" s="8"/>
      <c r="AI79" s="8"/>
      <c r="AJ79" s="8"/>
      <c r="AK79" s="8"/>
      <c r="AL79" s="8"/>
    </row>
    <row r="80" spans="9:38" x14ac:dyDescent="0.2">
      <c r="I80" s="8"/>
      <c r="L80" s="8"/>
      <c r="M80" s="8"/>
      <c r="V80" s="71"/>
      <c r="AF80" s="8"/>
      <c r="AI80" s="8"/>
      <c r="AJ80" s="8"/>
      <c r="AK80" s="8"/>
      <c r="AL80" s="8"/>
    </row>
    <row r="81" spans="9:38" x14ac:dyDescent="0.2">
      <c r="I81" s="8"/>
      <c r="L81" s="8"/>
      <c r="M81" s="8"/>
      <c r="V81" s="71"/>
      <c r="AF81" s="8"/>
      <c r="AI81" s="8"/>
      <c r="AJ81" s="8"/>
      <c r="AK81" s="8"/>
      <c r="AL81" s="8"/>
    </row>
    <row r="82" spans="9:38" x14ac:dyDescent="0.2">
      <c r="I82" s="8"/>
      <c r="L82" s="8"/>
      <c r="M82" s="8"/>
      <c r="V82" s="71"/>
      <c r="AF82" s="8"/>
      <c r="AI82" s="8"/>
      <c r="AJ82" s="8"/>
      <c r="AK82" s="8"/>
      <c r="AL82" s="8"/>
    </row>
    <row r="83" spans="9:38" x14ac:dyDescent="0.2">
      <c r="I83" s="8"/>
      <c r="L83" s="8"/>
      <c r="M83" s="8"/>
      <c r="V83" s="71"/>
      <c r="AF83" s="8"/>
      <c r="AI83" s="8"/>
      <c r="AJ83" s="8"/>
      <c r="AK83" s="8"/>
      <c r="AL83" s="8"/>
    </row>
    <row r="84" spans="9:38" x14ac:dyDescent="0.2">
      <c r="I84" s="8"/>
      <c r="L84" s="8"/>
      <c r="M84" s="8"/>
      <c r="V84" s="71"/>
      <c r="AF84" s="8"/>
      <c r="AI84" s="8"/>
      <c r="AJ84" s="8"/>
      <c r="AK84" s="8"/>
      <c r="AL84" s="8"/>
    </row>
    <row r="85" spans="9:38" x14ac:dyDescent="0.2">
      <c r="I85" s="8"/>
      <c r="L85" s="8"/>
      <c r="M85" s="8"/>
      <c r="V85" s="71"/>
      <c r="AF85" s="8"/>
      <c r="AI85" s="8"/>
      <c r="AJ85" s="8"/>
      <c r="AK85" s="8"/>
      <c r="AL85" s="8"/>
    </row>
    <row r="86" spans="9:38" x14ac:dyDescent="0.2">
      <c r="I86" s="8"/>
      <c r="L86" s="8"/>
      <c r="M86" s="8"/>
      <c r="V86" s="71"/>
      <c r="AF86" s="8"/>
      <c r="AI86" s="8"/>
      <c r="AJ86" s="8"/>
      <c r="AK86" s="8"/>
      <c r="AL86" s="8"/>
    </row>
    <row r="87" spans="9:38" x14ac:dyDescent="0.2">
      <c r="I87" s="8"/>
      <c r="L87" s="8"/>
      <c r="M87" s="8"/>
      <c r="V87" s="71"/>
      <c r="AF87" s="8"/>
      <c r="AI87" s="8"/>
      <c r="AJ87" s="8"/>
      <c r="AK87" s="8"/>
      <c r="AL87" s="8"/>
    </row>
  </sheetData>
  <mergeCells count="8">
    <mergeCell ref="AM3:AQ3"/>
    <mergeCell ref="B3:F3"/>
    <mergeCell ref="G3:M3"/>
    <mergeCell ref="B60:F60"/>
    <mergeCell ref="AH3:AK3"/>
    <mergeCell ref="AB3:AG3"/>
    <mergeCell ref="U3:AA3"/>
    <mergeCell ref="N3:T3"/>
  </mergeCells>
  <printOptions horizontalCentered="1"/>
  <pageMargins left="0.27559055118110237" right="0.19685039370078741" top="0.35433070866141736" bottom="0.15748031496062992" header="0.15748031496062992" footer="0.15748031496062992"/>
  <pageSetup scale="78" orientation="portrait" r:id="rId1"/>
  <headerFooter alignWithMargins="0">
    <oddHeader xml:space="preserve">&amp;LANEXO III
Pag </oddHeader>
  </headerFooter>
  <colBreaks count="3" manualBreakCount="3">
    <brk id="6" min="2" max="60" man="1"/>
    <brk id="13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7"/>
  <sheetViews>
    <sheetView showGridLines="0" zoomScale="150" zoomScaleNormal="150" zoomScaleSheetLayoutView="100" workbookViewId="0">
      <selection activeCell="C27" sqref="C27"/>
    </sheetView>
  </sheetViews>
  <sheetFormatPr baseColWidth="10" defaultRowHeight="12.75" x14ac:dyDescent="0.2"/>
  <cols>
    <col min="1" max="1" width="61.140625" style="88" customWidth="1"/>
    <col min="2" max="4" width="21" style="88" customWidth="1"/>
    <col min="5" max="16384" width="11.42578125" style="88"/>
  </cols>
  <sheetData>
    <row r="1" spans="1:4" ht="27.75" customHeight="1" x14ac:dyDescent="0.2">
      <c r="A1" s="240" t="s">
        <v>176</v>
      </c>
      <c r="B1" s="240"/>
      <c r="C1" s="240"/>
      <c r="D1" s="240"/>
    </row>
    <row r="3" spans="1:4" ht="25.5" x14ac:dyDescent="0.2">
      <c r="A3" s="89" t="s">
        <v>118</v>
      </c>
      <c r="B3" s="89" t="s">
        <v>177</v>
      </c>
      <c r="C3" s="89" t="s">
        <v>119</v>
      </c>
      <c r="D3" s="89" t="s">
        <v>178</v>
      </c>
    </row>
    <row r="4" spans="1:4" ht="25.5" customHeight="1" x14ac:dyDescent="0.2">
      <c r="A4" s="90" t="s">
        <v>139</v>
      </c>
      <c r="B4" s="91">
        <v>6433000000</v>
      </c>
      <c r="C4" s="92">
        <v>6.28</v>
      </c>
      <c r="D4" s="91">
        <f>+C4/100*B4</f>
        <v>403992400.00000006</v>
      </c>
    </row>
    <row r="5" spans="1:4" ht="25.5" customHeight="1" x14ac:dyDescent="0.2">
      <c r="A5" s="142"/>
      <c r="B5" s="143"/>
      <c r="C5" s="144"/>
      <c r="D5" s="143"/>
    </row>
    <row r="6" spans="1:4" x14ac:dyDescent="0.2">
      <c r="A6" s="162"/>
      <c r="B6" s="93"/>
      <c r="C6" s="94"/>
      <c r="D6" s="93"/>
    </row>
    <row r="7" spans="1:4" x14ac:dyDescent="0.2">
      <c r="A7" s="141"/>
    </row>
  </sheetData>
  <mergeCells count="1">
    <mergeCell ref="A1:D1"/>
  </mergeCells>
  <pageMargins left="0.70866141732283472" right="0.70866141732283472" top="1.1023622047244095" bottom="0.74803149606299213" header="0.31496062992125984" footer="0.31496062992125984"/>
  <pageSetup orientation="landscape" r:id="rId1"/>
  <headerFooter>
    <oddHeader>&amp;LANEXO III
Pag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D62"/>
  <sheetViews>
    <sheetView showGridLines="0" view="pageBreakPreview" zoomScaleNormal="100" zoomScaleSheetLayoutView="100" workbookViewId="0">
      <selection activeCell="C27" sqref="C27"/>
    </sheetView>
  </sheetViews>
  <sheetFormatPr baseColWidth="10" defaultRowHeight="12.75" x14ac:dyDescent="0.2"/>
  <cols>
    <col min="1" max="1" width="28" style="96" customWidth="1"/>
    <col min="2" max="2" width="21.85546875" style="96" customWidth="1"/>
    <col min="3" max="3" width="19.5703125" style="96" customWidth="1"/>
    <col min="4" max="4" width="21" style="96" customWidth="1"/>
    <col min="5" max="16384" width="11.42578125" style="96"/>
  </cols>
  <sheetData>
    <row r="1" spans="1:4" ht="27.75" customHeight="1" x14ac:dyDescent="0.2">
      <c r="A1" s="241" t="s">
        <v>179</v>
      </c>
      <c r="B1" s="241"/>
      <c r="C1" s="241"/>
      <c r="D1" s="241"/>
    </row>
    <row r="2" spans="1:4" x14ac:dyDescent="0.2">
      <c r="A2" s="242" t="s">
        <v>123</v>
      </c>
      <c r="B2" s="242"/>
      <c r="C2" s="242"/>
      <c r="D2" s="242"/>
    </row>
    <row r="3" spans="1:4" ht="13.5" customHeight="1" thickBot="1" x14ac:dyDescent="0.25">
      <c r="A3" s="97"/>
    </row>
    <row r="4" spans="1:4" ht="14.25" thickTop="1" thickBot="1" x14ac:dyDescent="0.25">
      <c r="A4" s="98" t="s">
        <v>0</v>
      </c>
      <c r="B4" s="99" t="s">
        <v>140</v>
      </c>
      <c r="C4" s="99" t="s">
        <v>141</v>
      </c>
      <c r="D4" s="181" t="s">
        <v>142</v>
      </c>
    </row>
    <row r="5" spans="1:4" ht="13.5" thickTop="1" x14ac:dyDescent="0.2">
      <c r="A5" s="100" t="s">
        <v>1</v>
      </c>
      <c r="B5" s="101">
        <f>SUM(C5:D5)</f>
        <v>119455.56186859685</v>
      </c>
      <c r="C5" s="101">
        <f>('ESTIMACIÓN 2016'!D$4/2)*'ISN 2014'!O4</f>
        <v>25869.23436171313</v>
      </c>
      <c r="D5" s="182">
        <f>('ESTIMACIÓN 2016'!D$4/2)*'COEF Art 14 F I'!AQ7</f>
        <v>93586.327506883725</v>
      </c>
    </row>
    <row r="6" spans="1:4" x14ac:dyDescent="0.2">
      <c r="A6" s="100" t="s">
        <v>2</v>
      </c>
      <c r="B6" s="101">
        <f t="shared" ref="B6:B55" si="0">SUM(C6:D6)</f>
        <v>541668.66486901662</v>
      </c>
      <c r="C6" s="101">
        <f>('ESTIMACIÓN 2016'!D$4/2)*'ISN 2014'!O5</f>
        <v>35814.524478315681</v>
      </c>
      <c r="D6" s="182">
        <f>('ESTIMACIÓN 2016'!D$4/2)*'COEF Art 14 F I'!AQ8</f>
        <v>505854.14039070089</v>
      </c>
    </row>
    <row r="7" spans="1:4" x14ac:dyDescent="0.2">
      <c r="A7" s="100" t="s">
        <v>3</v>
      </c>
      <c r="B7" s="101">
        <f t="shared" si="0"/>
        <v>547620.76055519306</v>
      </c>
      <c r="C7" s="101">
        <f>('ESTIMACIÓN 2016'!D$4/2)*'ISN 2014'!O6</f>
        <v>6294.6598213297821</v>
      </c>
      <c r="D7" s="182">
        <f>('ESTIMACIÓN 2016'!D$4/2)*'COEF Art 14 F I'!AQ9</f>
        <v>541326.10073386331</v>
      </c>
    </row>
    <row r="8" spans="1:4" x14ac:dyDescent="0.2">
      <c r="A8" s="100" t="s">
        <v>4</v>
      </c>
      <c r="B8" s="101">
        <f t="shared" si="0"/>
        <v>2301113.7845229371</v>
      </c>
      <c r="C8" s="101">
        <f>('ESTIMACIÓN 2016'!D$4/2)*'ISN 2014'!O7</f>
        <v>889176.47910399642</v>
      </c>
      <c r="D8" s="182">
        <f>('ESTIMACIÓN 2016'!D$4/2)*'COEF Art 14 F I'!AQ10</f>
        <v>1411937.3054189407</v>
      </c>
    </row>
    <row r="9" spans="1:4" x14ac:dyDescent="0.2">
      <c r="A9" s="100" t="s">
        <v>5</v>
      </c>
      <c r="B9" s="101">
        <f t="shared" si="0"/>
        <v>1562746.4825148203</v>
      </c>
      <c r="C9" s="101">
        <f>('ESTIMACIÓN 2016'!D$4/2)*'ISN 2014'!O8</f>
        <v>56864.796713079166</v>
      </c>
      <c r="D9" s="182">
        <f>('ESTIMACIÓN 2016'!D$4/2)*'COEF Art 14 F I'!AQ11</f>
        <v>1505881.6858017412</v>
      </c>
    </row>
    <row r="10" spans="1:4" x14ac:dyDescent="0.2">
      <c r="A10" s="100" t="s">
        <v>6</v>
      </c>
      <c r="B10" s="101">
        <f t="shared" si="0"/>
        <v>32168510.622196823</v>
      </c>
      <c r="C10" s="101">
        <f>('ESTIMACIÓN 2016'!D$4/2)*'ISN 2014'!O9</f>
        <v>19777765.347899038</v>
      </c>
      <c r="D10" s="182">
        <f>('ESTIMACIÓN 2016'!D$4/2)*'COEF Art 14 F I'!AQ12</f>
        <v>12390745.274297785</v>
      </c>
    </row>
    <row r="11" spans="1:4" x14ac:dyDescent="0.2">
      <c r="A11" s="100" t="s">
        <v>7</v>
      </c>
      <c r="B11" s="101">
        <f t="shared" si="0"/>
        <v>2159682.1117685023</v>
      </c>
      <c r="C11" s="101">
        <f>('ESTIMACIÓN 2016'!D$4/2)*'ISN 2014'!O10</f>
        <v>34615.162662554372</v>
      </c>
      <c r="D11" s="182">
        <f>('ESTIMACIÓN 2016'!D$4/2)*'COEF Art 14 F I'!AQ13</f>
        <v>2125066.9491059477</v>
      </c>
    </row>
    <row r="12" spans="1:4" x14ac:dyDescent="0.2">
      <c r="A12" s="100" t="s">
        <v>8</v>
      </c>
      <c r="B12" s="101">
        <f t="shared" si="0"/>
        <v>290383.18746117922</v>
      </c>
      <c r="C12" s="101">
        <f>('ESTIMACIÓN 2016'!D$4/2)*'ISN 2014'!O11</f>
        <v>12921.078726969652</v>
      </c>
      <c r="D12" s="182">
        <f>('ESTIMACIÓN 2016'!D$4/2)*'COEF Art 14 F I'!AQ14</f>
        <v>277462.10873420956</v>
      </c>
    </row>
    <row r="13" spans="1:4" x14ac:dyDescent="0.2">
      <c r="A13" s="100" t="s">
        <v>9</v>
      </c>
      <c r="B13" s="101">
        <f t="shared" si="0"/>
        <v>6339381.8855452407</v>
      </c>
      <c r="C13" s="101">
        <f>('ESTIMACIÓN 2016'!D$4/2)*'ISN 2014'!O12</f>
        <v>3549760.621510148</v>
      </c>
      <c r="D13" s="182">
        <f>('ESTIMACIÓN 2016'!D$4/2)*'COEF Art 14 F I'!AQ15</f>
        <v>2789621.2640350922</v>
      </c>
    </row>
    <row r="14" spans="1:4" x14ac:dyDescent="0.2">
      <c r="A14" s="100" t="s">
        <v>10</v>
      </c>
      <c r="B14" s="101">
        <f t="shared" si="0"/>
        <v>1109431.8808504436</v>
      </c>
      <c r="C14" s="101">
        <f>('ESTIMACIÓN 2016'!D$4/2)*'ISN 2014'!O13</f>
        <v>627207.66241899296</v>
      </c>
      <c r="D14" s="182">
        <f>('ESTIMACIÓN 2016'!D$4/2)*'COEF Art 14 F I'!AQ16</f>
        <v>482224.21843145072</v>
      </c>
    </row>
    <row r="15" spans="1:4" x14ac:dyDescent="0.2">
      <c r="A15" s="100" t="s">
        <v>11</v>
      </c>
      <c r="B15" s="101">
        <f t="shared" si="0"/>
        <v>687417.02887235663</v>
      </c>
      <c r="C15" s="101">
        <f>('ESTIMACIÓN 2016'!D$4/2)*'ISN 2014'!O14</f>
        <v>47317.338004944286</v>
      </c>
      <c r="D15" s="182">
        <f>('ESTIMACIÓN 2016'!D$4/2)*'COEF Art 14 F I'!AQ17</f>
        <v>640099.69086741237</v>
      </c>
    </row>
    <row r="16" spans="1:4" x14ac:dyDescent="0.2">
      <c r="A16" s="100" t="s">
        <v>12</v>
      </c>
      <c r="B16" s="101">
        <f t="shared" si="0"/>
        <v>1495946.5701119783</v>
      </c>
      <c r="C16" s="101">
        <f>('ESTIMACIÓN 2016'!D$4/2)*'ISN 2014'!O15</f>
        <v>66835.394861135486</v>
      </c>
      <c r="D16" s="182">
        <f>('ESTIMACIÓN 2016'!D$4/2)*'COEF Art 14 F I'!AQ18</f>
        <v>1429111.1752508429</v>
      </c>
    </row>
    <row r="17" spans="1:4" x14ac:dyDescent="0.2">
      <c r="A17" s="100" t="s">
        <v>13</v>
      </c>
      <c r="B17" s="101">
        <f t="shared" si="0"/>
        <v>4246936.509764906</v>
      </c>
      <c r="C17" s="101">
        <f>('ESTIMACIÓN 2016'!D$4/2)*'ISN 2014'!O16</f>
        <v>3361749.7437569741</v>
      </c>
      <c r="D17" s="182">
        <f>('ESTIMACIÓN 2016'!D$4/2)*'COEF Art 14 F I'!AQ19</f>
        <v>885186.76600793214</v>
      </c>
    </row>
    <row r="18" spans="1:4" x14ac:dyDescent="0.2">
      <c r="A18" s="100" t="s">
        <v>14</v>
      </c>
      <c r="B18" s="101">
        <f t="shared" si="0"/>
        <v>4881722.6127179619</v>
      </c>
      <c r="C18" s="101">
        <f>('ESTIMACIÓN 2016'!D$4/2)*'ISN 2014'!O17</f>
        <v>75208.749653383202</v>
      </c>
      <c r="D18" s="182">
        <f>('ESTIMACIÓN 2016'!D$4/2)*'COEF Art 14 F I'!AQ20</f>
        <v>4806513.8630645787</v>
      </c>
    </row>
    <row r="19" spans="1:4" x14ac:dyDescent="0.2">
      <c r="A19" s="100" t="s">
        <v>15</v>
      </c>
      <c r="B19" s="101">
        <f t="shared" si="0"/>
        <v>619814.36038424051</v>
      </c>
      <c r="C19" s="101">
        <f>('ESTIMACIÓN 2016'!D$4/2)*'ISN 2014'!O18</f>
        <v>6120.3680537461687</v>
      </c>
      <c r="D19" s="182">
        <f>('ESTIMACIÓN 2016'!D$4/2)*'COEF Art 14 F I'!AQ21</f>
        <v>613693.99233049434</v>
      </c>
    </row>
    <row r="20" spans="1:4" x14ac:dyDescent="0.2">
      <c r="A20" s="100" t="s">
        <v>16</v>
      </c>
      <c r="B20" s="101">
        <f t="shared" si="0"/>
        <v>280575.63898027805</v>
      </c>
      <c r="C20" s="101">
        <f>('ESTIMACIÓN 2016'!D$4/2)*'ISN 2014'!O19</f>
        <v>37483.458554437857</v>
      </c>
      <c r="D20" s="182">
        <f>('ESTIMACIÓN 2016'!D$4/2)*'COEF Art 14 F I'!AQ22</f>
        <v>243092.18042584017</v>
      </c>
    </row>
    <row r="21" spans="1:4" x14ac:dyDescent="0.2">
      <c r="A21" s="100" t="s">
        <v>17</v>
      </c>
      <c r="B21" s="101">
        <f t="shared" si="0"/>
        <v>3688020.7220103606</v>
      </c>
      <c r="C21" s="101">
        <f>('ESTIMACIÓN 2016'!D$4/2)*'ISN 2014'!O20</f>
        <v>123130.81758471541</v>
      </c>
      <c r="D21" s="182">
        <f>('ESTIMACIÓN 2016'!D$4/2)*'COEF Art 14 F I'!AQ23</f>
        <v>3564889.9044256452</v>
      </c>
    </row>
    <row r="22" spans="1:4" x14ac:dyDescent="0.2">
      <c r="A22" s="100" t="s">
        <v>18</v>
      </c>
      <c r="B22" s="101">
        <f t="shared" si="0"/>
        <v>8990329.3891447242</v>
      </c>
      <c r="C22" s="101">
        <f>('ESTIMACIÓN 2016'!D$4/2)*'ISN 2014'!O21</f>
        <v>3856882.2742610783</v>
      </c>
      <c r="D22" s="182">
        <f>('ESTIMACIÓN 2016'!D$4/2)*'COEF Art 14 F I'!AQ24</f>
        <v>5133447.1148836454</v>
      </c>
    </row>
    <row r="23" spans="1:4" x14ac:dyDescent="0.2">
      <c r="A23" s="100" t="s">
        <v>19</v>
      </c>
      <c r="B23" s="101">
        <f t="shared" si="0"/>
        <v>613740.51163294911</v>
      </c>
      <c r="C23" s="101">
        <f>('ESTIMACIÓN 2016'!D$4/2)*'ISN 2014'!O22</f>
        <v>65616.513930631874</v>
      </c>
      <c r="D23" s="182">
        <f>('ESTIMACIÓN 2016'!D$4/2)*'COEF Art 14 F I'!AQ25</f>
        <v>548123.9977023172</v>
      </c>
    </row>
    <row r="24" spans="1:4" x14ac:dyDescent="0.2">
      <c r="A24" s="100" t="s">
        <v>20</v>
      </c>
      <c r="B24" s="101">
        <f t="shared" si="0"/>
        <v>15849613.407779783</v>
      </c>
      <c r="C24" s="101">
        <f>('ESTIMACIÓN 2016'!D$4/2)*'ISN 2014'!O23</f>
        <v>5911109.7036883859</v>
      </c>
      <c r="D24" s="182">
        <f>('ESTIMACIÓN 2016'!D$4/2)*'COEF Art 14 F I'!AQ26</f>
        <v>9938503.7040913962</v>
      </c>
    </row>
    <row r="25" spans="1:4" x14ac:dyDescent="0.2">
      <c r="A25" s="100" t="s">
        <v>21</v>
      </c>
      <c r="B25" s="101">
        <f t="shared" si="0"/>
        <v>1429572.4655926472</v>
      </c>
      <c r="C25" s="101">
        <f>('ESTIMACIÓN 2016'!D$4/2)*'ISN 2014'!O24</f>
        <v>101800.6841601069</v>
      </c>
      <c r="D25" s="182">
        <f>('ESTIMACIÓN 2016'!D$4/2)*'COEF Art 14 F I'!AQ27</f>
        <v>1327771.7814325404</v>
      </c>
    </row>
    <row r="26" spans="1:4" x14ac:dyDescent="0.2">
      <c r="A26" s="100" t="s">
        <v>22</v>
      </c>
      <c r="B26" s="101">
        <f t="shared" si="0"/>
        <v>112458.80175506941</v>
      </c>
      <c r="C26" s="101">
        <f>('ESTIMACIÓN 2016'!D$4/2)*'ISN 2014'!O25</f>
        <v>1975.654083073495</v>
      </c>
      <c r="D26" s="182">
        <f>('ESTIMACIÓN 2016'!D$4/2)*'COEF Art 14 F I'!AQ28</f>
        <v>110483.14767199592</v>
      </c>
    </row>
    <row r="27" spans="1:4" x14ac:dyDescent="0.2">
      <c r="A27" s="100" t="s">
        <v>23</v>
      </c>
      <c r="B27" s="101">
        <f t="shared" si="0"/>
        <v>1071563.4437501703</v>
      </c>
      <c r="C27" s="101">
        <f>('ESTIMACIÓN 2016'!D$4/2)*'ISN 2014'!O26</f>
        <v>14959.021480673766</v>
      </c>
      <c r="D27" s="182">
        <f>('ESTIMACIÓN 2016'!D$4/2)*'COEF Art 14 F I'!AQ29</f>
        <v>1056604.4222694966</v>
      </c>
    </row>
    <row r="28" spans="1:4" x14ac:dyDescent="0.2">
      <c r="A28" s="100" t="s">
        <v>24</v>
      </c>
      <c r="B28" s="101">
        <f t="shared" si="0"/>
        <v>931689.07290996355</v>
      </c>
      <c r="C28" s="101">
        <f>('ESTIMACIÓN 2016'!D$4/2)*'ISN 2014'!O27</f>
        <v>81298.197866150498</v>
      </c>
      <c r="D28" s="182">
        <f>('ESTIMACIÓN 2016'!D$4/2)*'COEF Art 14 F I'!AQ30</f>
        <v>850390.87504381302</v>
      </c>
    </row>
    <row r="29" spans="1:4" x14ac:dyDescent="0.2">
      <c r="A29" s="100" t="s">
        <v>25</v>
      </c>
      <c r="B29" s="101">
        <f t="shared" si="0"/>
        <v>27518845.615967289</v>
      </c>
      <c r="C29" s="101">
        <f>('ESTIMACIÓN 2016'!D$4/2)*'ISN 2014'!O28</f>
        <v>11480901.774667656</v>
      </c>
      <c r="D29" s="182">
        <f>('ESTIMACIÓN 2016'!D$4/2)*'COEF Art 14 F I'!AQ31</f>
        <v>16037943.841299633</v>
      </c>
    </row>
    <row r="30" spans="1:4" x14ac:dyDescent="0.2">
      <c r="A30" s="100" t="s">
        <v>26</v>
      </c>
      <c r="B30" s="101">
        <f t="shared" si="0"/>
        <v>290846.86241182726</v>
      </c>
      <c r="C30" s="101">
        <f>('ESTIMACIÓN 2016'!D$4/2)*'ISN 2014'!O29</f>
        <v>8436.8378386145105</v>
      </c>
      <c r="D30" s="182">
        <f>('ESTIMACIÓN 2016'!D$4/2)*'COEF Art 14 F I'!AQ32</f>
        <v>282410.02457321272</v>
      </c>
    </row>
    <row r="31" spans="1:4" x14ac:dyDescent="0.2">
      <c r="A31" s="100" t="s">
        <v>27</v>
      </c>
      <c r="B31" s="101">
        <f t="shared" si="0"/>
        <v>755719.30247071083</v>
      </c>
      <c r="C31" s="101">
        <f>('ESTIMACIÓN 2016'!D$4/2)*'ISN 2014'!O30</f>
        <v>64076.516813577538</v>
      </c>
      <c r="D31" s="182">
        <f>('ESTIMACIÓN 2016'!D$4/2)*'COEF Art 14 F I'!AQ33</f>
        <v>691642.78565713333</v>
      </c>
    </row>
    <row r="32" spans="1:4" x14ac:dyDescent="0.2">
      <c r="A32" s="100" t="s">
        <v>28</v>
      </c>
      <c r="B32" s="101">
        <f t="shared" si="0"/>
        <v>442882.50389586197</v>
      </c>
      <c r="C32" s="101">
        <f>('ESTIMACIÓN 2016'!D$4/2)*'ISN 2014'!O31</f>
        <v>11867.947069698883</v>
      </c>
      <c r="D32" s="182">
        <f>('ESTIMACIÓN 2016'!D$4/2)*'COEF Art 14 F I'!AQ34</f>
        <v>431014.55682616308</v>
      </c>
    </row>
    <row r="33" spans="1:4" x14ac:dyDescent="0.2">
      <c r="A33" s="100" t="s">
        <v>29</v>
      </c>
      <c r="B33" s="101">
        <f t="shared" si="0"/>
        <v>502553.56367907196</v>
      </c>
      <c r="C33" s="101">
        <f>('ESTIMACIÓN 2016'!D$4/2)*'ISN 2014'!O32</f>
        <v>22879.790567722648</v>
      </c>
      <c r="D33" s="182">
        <f>('ESTIMACIÓN 2016'!D$4/2)*'COEF Art 14 F I'!AQ35</f>
        <v>479673.77311134932</v>
      </c>
    </row>
    <row r="34" spans="1:4" x14ac:dyDescent="0.2">
      <c r="A34" s="100" t="s">
        <v>30</v>
      </c>
      <c r="B34" s="101">
        <f t="shared" si="0"/>
        <v>564363.91223891277</v>
      </c>
      <c r="C34" s="101">
        <f>('ESTIMACIÓN 2016'!D$4/2)*'ISN 2014'!O33</f>
        <v>10790.810070196398</v>
      </c>
      <c r="D34" s="182">
        <f>('ESTIMACIÓN 2016'!D$4/2)*'COEF Art 14 F I'!AQ36</f>
        <v>553573.10216871637</v>
      </c>
    </row>
    <row r="35" spans="1:4" x14ac:dyDescent="0.2">
      <c r="A35" s="100" t="s">
        <v>31</v>
      </c>
      <c r="B35" s="101">
        <f t="shared" si="0"/>
        <v>6107464.4904943425</v>
      </c>
      <c r="C35" s="101">
        <f>('ESTIMACIÓN 2016'!D$4/2)*'ISN 2014'!O34</f>
        <v>852383.49450512894</v>
      </c>
      <c r="D35" s="182">
        <f>('ESTIMACIÓN 2016'!D$4/2)*'COEF Art 14 F I'!AQ37</f>
        <v>5255080.9959892137</v>
      </c>
    </row>
    <row r="36" spans="1:4" x14ac:dyDescent="0.2">
      <c r="A36" s="100" t="s">
        <v>32</v>
      </c>
      <c r="B36" s="101">
        <f t="shared" si="0"/>
        <v>930466.00477204996</v>
      </c>
      <c r="C36" s="101">
        <f>('ESTIMACIÓN 2016'!D$4/2)*'ISN 2014'!O35</f>
        <v>26489.064139434719</v>
      </c>
      <c r="D36" s="182">
        <f>('ESTIMACIÓN 2016'!D$4/2)*'COEF Art 14 F I'!AQ38</f>
        <v>903976.94063261524</v>
      </c>
    </row>
    <row r="37" spans="1:4" x14ac:dyDescent="0.2">
      <c r="A37" s="100" t="s">
        <v>33</v>
      </c>
      <c r="B37" s="101">
        <f t="shared" si="0"/>
        <v>4500487.9069786798</v>
      </c>
      <c r="C37" s="101">
        <f>('ESTIMACIÓN 2016'!D$4/2)*'ISN 2014'!O36</f>
        <v>928518.4671731079</v>
      </c>
      <c r="D37" s="182">
        <f>('ESTIMACIÓN 2016'!D$4/2)*'COEF Art 14 F I'!AQ39</f>
        <v>3571969.4398055719</v>
      </c>
    </row>
    <row r="38" spans="1:4" x14ac:dyDescent="0.2">
      <c r="A38" s="100" t="s">
        <v>34</v>
      </c>
      <c r="B38" s="101">
        <f t="shared" si="0"/>
        <v>809069.56433334283</v>
      </c>
      <c r="C38" s="101">
        <f>('ESTIMACIÓN 2016'!D$4/2)*'ISN 2014'!O37</f>
        <v>10826.34311427144</v>
      </c>
      <c r="D38" s="182">
        <f>('ESTIMACIÓN 2016'!D$4/2)*'COEF Art 14 F I'!AQ40</f>
        <v>798243.22121907142</v>
      </c>
    </row>
    <row r="39" spans="1:4" x14ac:dyDescent="0.2">
      <c r="A39" s="100" t="s">
        <v>35</v>
      </c>
      <c r="B39" s="101">
        <f t="shared" si="0"/>
        <v>781817.82179838372</v>
      </c>
      <c r="C39" s="101">
        <f>('ESTIMACIÓN 2016'!D$4/2)*'ISN 2014'!O38</f>
        <v>7049.7102039959</v>
      </c>
      <c r="D39" s="182">
        <f>('ESTIMACIÓN 2016'!D$4/2)*'COEF Art 14 F I'!AQ41</f>
        <v>774768.1115943878</v>
      </c>
    </row>
    <row r="40" spans="1:4" x14ac:dyDescent="0.2">
      <c r="A40" s="100" t="s">
        <v>36</v>
      </c>
      <c r="B40" s="101">
        <f t="shared" si="0"/>
        <v>807146.44031559513</v>
      </c>
      <c r="C40" s="101">
        <f>('ESTIMACIÓN 2016'!D$4/2)*'ISN 2014'!O39</f>
        <v>23875.695380207919</v>
      </c>
      <c r="D40" s="182">
        <f>('ESTIMACIÓN 2016'!D$4/2)*'COEF Art 14 F I'!AQ42</f>
        <v>783270.74493538716</v>
      </c>
    </row>
    <row r="41" spans="1:4" x14ac:dyDescent="0.2">
      <c r="A41" s="100" t="s">
        <v>37</v>
      </c>
      <c r="B41" s="101">
        <f t="shared" si="0"/>
        <v>1016293.893824385</v>
      </c>
      <c r="C41" s="101">
        <f>('ESTIMACIÓN 2016'!D$4/2)*'ISN 2014'!O40</f>
        <v>22256.525861987742</v>
      </c>
      <c r="D41" s="182">
        <f>('ESTIMACIÓN 2016'!D$4/2)*'COEF Art 14 F I'!AQ43</f>
        <v>994037.36796239729</v>
      </c>
    </row>
    <row r="42" spans="1:4" x14ac:dyDescent="0.2">
      <c r="A42" s="100" t="s">
        <v>38</v>
      </c>
      <c r="B42" s="101">
        <f t="shared" si="0"/>
        <v>3214531.0275182016</v>
      </c>
      <c r="C42" s="101">
        <f>('ESTIMACIÓN 2016'!D$4/2)*'ISN 2014'!O41</f>
        <v>663616.87221157702</v>
      </c>
      <c r="D42" s="182">
        <f>('ESTIMACIÓN 2016'!D$4/2)*'COEF Art 14 F I'!AQ44</f>
        <v>2550914.1553066247</v>
      </c>
    </row>
    <row r="43" spans="1:4" x14ac:dyDescent="0.2">
      <c r="A43" s="100" t="s">
        <v>39</v>
      </c>
      <c r="B43" s="101">
        <f t="shared" si="0"/>
        <v>142778171.41775149</v>
      </c>
      <c r="C43" s="101">
        <f>('ESTIMACIÓN 2016'!D$4/2)*'ISN 2014'!O42</f>
        <v>92102085.92691794</v>
      </c>
      <c r="D43" s="182">
        <f>('ESTIMACIÓN 2016'!D$4/2)*'COEF Art 14 F I'!AQ45</f>
        <v>50676085.490833558</v>
      </c>
    </row>
    <row r="44" spans="1:4" x14ac:dyDescent="0.2">
      <c r="A44" s="100" t="s">
        <v>40</v>
      </c>
      <c r="B44" s="101">
        <f t="shared" si="0"/>
        <v>219886.2040357074</v>
      </c>
      <c r="C44" s="101">
        <f>('ESTIMACIÓN 2016'!D$4/2)*'ISN 2014'!O43</f>
        <v>7737.4452188844098</v>
      </c>
      <c r="D44" s="182">
        <f>('ESTIMACIÓN 2016'!D$4/2)*'COEF Art 14 F I'!AQ46</f>
        <v>212148.75881682298</v>
      </c>
    </row>
    <row r="45" spans="1:4" x14ac:dyDescent="0.2">
      <c r="A45" s="100" t="s">
        <v>41</v>
      </c>
      <c r="B45" s="101">
        <f t="shared" si="0"/>
        <v>1365782.8845541361</v>
      </c>
      <c r="C45" s="101">
        <f>('ESTIMACIÓN 2016'!D$4/2)*'ISN 2014'!O44</f>
        <v>588288.21513823932</v>
      </c>
      <c r="D45" s="182">
        <f>('ESTIMACIÓN 2016'!D$4/2)*'COEF Art 14 F I'!AQ47</f>
        <v>777494.66941589664</v>
      </c>
    </row>
    <row r="46" spans="1:4" x14ac:dyDescent="0.2">
      <c r="A46" s="100" t="s">
        <v>42</v>
      </c>
      <c r="B46" s="101">
        <f t="shared" si="0"/>
        <v>414925.7053036163</v>
      </c>
      <c r="C46" s="101">
        <f>('ESTIMACIÓN 2016'!D$4/2)*'ISN 2014'!O45</f>
        <v>10674.167057699693</v>
      </c>
      <c r="D46" s="182">
        <f>('ESTIMACIÓN 2016'!D$4/2)*'COEF Art 14 F I'!AQ48</f>
        <v>404251.5382459166</v>
      </c>
    </row>
    <row r="47" spans="1:4" x14ac:dyDescent="0.2">
      <c r="A47" s="100" t="s">
        <v>43</v>
      </c>
      <c r="B47" s="101">
        <f t="shared" si="0"/>
        <v>659157.14895051741</v>
      </c>
      <c r="C47" s="101">
        <f>('ESTIMACIÓN 2016'!D$4/2)*'ISN 2014'!O46</f>
        <v>11674.197296670749</v>
      </c>
      <c r="D47" s="182">
        <f>('ESTIMACIÓN 2016'!D$4/2)*'COEF Art 14 F I'!AQ49</f>
        <v>647482.95165384666</v>
      </c>
    </row>
    <row r="48" spans="1:4" x14ac:dyDescent="0.2">
      <c r="A48" s="100" t="s">
        <v>44</v>
      </c>
      <c r="B48" s="101">
        <f t="shared" si="0"/>
        <v>1459573.0757182068</v>
      </c>
      <c r="C48" s="101">
        <f>('ESTIMACIÓN 2016'!D$4/2)*'ISN 2014'!O47</f>
        <v>258434.91832174451</v>
      </c>
      <c r="D48" s="182">
        <f>('ESTIMACIÓN 2016'!D$4/2)*'COEF Art 14 F I'!AQ50</f>
        <v>1201138.1573964623</v>
      </c>
    </row>
    <row r="49" spans="1:4" x14ac:dyDescent="0.2">
      <c r="A49" s="100" t="s">
        <v>45</v>
      </c>
      <c r="B49" s="101">
        <f t="shared" si="0"/>
        <v>2105294.0114385211</v>
      </c>
      <c r="C49" s="101">
        <f>('ESTIMACIÓN 2016'!D$4/2)*'ISN 2014'!O48</f>
        <v>510449.92837639444</v>
      </c>
      <c r="D49" s="182">
        <f>('ESTIMACIÓN 2016'!D$4/2)*'COEF Art 14 F I'!AQ51</f>
        <v>1594844.0830621268</v>
      </c>
    </row>
    <row r="50" spans="1:4" x14ac:dyDescent="0.2">
      <c r="A50" s="100" t="s">
        <v>46</v>
      </c>
      <c r="B50" s="101">
        <f t="shared" si="0"/>
        <v>33654191.896766536</v>
      </c>
      <c r="C50" s="101">
        <f>('ESTIMACIÓN 2016'!D$4/2)*'ISN 2014'!O49</f>
        <v>17051562.238042247</v>
      </c>
      <c r="D50" s="182">
        <f>('ESTIMACIÓN 2016'!D$4/2)*'COEF Art 14 F I'!AQ52</f>
        <v>16602629.658724291</v>
      </c>
    </row>
    <row r="51" spans="1:4" x14ac:dyDescent="0.2">
      <c r="A51" s="100" t="s">
        <v>47</v>
      </c>
      <c r="B51" s="101">
        <f t="shared" si="0"/>
        <v>59566550.758493721</v>
      </c>
      <c r="C51" s="101">
        <f>('ESTIMACIÓN 2016'!D$4/2)*'ISN 2014'!O50</f>
        <v>28069513.633065987</v>
      </c>
      <c r="D51" s="182">
        <f>('ESTIMACIÓN 2016'!D$4/2)*'COEF Art 14 F I'!AQ53</f>
        <v>31497037.12542773</v>
      </c>
    </row>
    <row r="52" spans="1:4" x14ac:dyDescent="0.2">
      <c r="A52" s="100" t="s">
        <v>48</v>
      </c>
      <c r="B52" s="101">
        <f t="shared" si="0"/>
        <v>18196548.374360524</v>
      </c>
      <c r="C52" s="101">
        <f>('ESTIMACIÓN 2016'!D$4/2)*'ISN 2014'!O51</f>
        <v>10017085.67009942</v>
      </c>
      <c r="D52" s="182">
        <f>('ESTIMACIÓN 2016'!D$4/2)*'COEF Art 14 F I'!AQ54</f>
        <v>8179462.7042611046</v>
      </c>
    </row>
    <row r="53" spans="1:4" x14ac:dyDescent="0.2">
      <c r="A53" s="100" t="s">
        <v>49</v>
      </c>
      <c r="B53" s="101">
        <f t="shared" si="0"/>
        <v>2611164.9792485675</v>
      </c>
      <c r="C53" s="101">
        <f>('ESTIMACIÓN 2016'!D$4/2)*'ISN 2014'!O52</f>
        <v>429348.60783517681</v>
      </c>
      <c r="D53" s="182">
        <f>('ESTIMACIÓN 2016'!D$4/2)*'COEF Art 14 F I'!AQ55</f>
        <v>2181816.3714133906</v>
      </c>
    </row>
    <row r="54" spans="1:4" x14ac:dyDescent="0.2">
      <c r="A54" s="100" t="s">
        <v>50</v>
      </c>
      <c r="B54" s="101">
        <f t="shared" si="0"/>
        <v>393757.65250403457</v>
      </c>
      <c r="C54" s="101">
        <f>('ESTIMACIÓN 2016'!D$4/2)*'ISN 2014'!O53</f>
        <v>11357.102980131127</v>
      </c>
      <c r="D54" s="182">
        <f>('ESTIMACIÓN 2016'!D$4/2)*'COEF Art 14 F I'!AQ56</f>
        <v>382400.54952390346</v>
      </c>
    </row>
    <row r="55" spans="1:4" ht="13.5" thickBot="1" x14ac:dyDescent="0.25">
      <c r="A55" s="100" t="s">
        <v>51</v>
      </c>
      <c r="B55" s="101">
        <f t="shared" si="0"/>
        <v>285511.50261573284</v>
      </c>
      <c r="C55" s="101">
        <f>('ESTIMACIÓN 2016'!D$4/2)*'ISN 2014'!O54</f>
        <v>26240.612396798657</v>
      </c>
      <c r="D55" s="182">
        <f>('ESTIMACIÓN 2016'!D$4/2)*'COEF Art 14 F I'!AQ57</f>
        <v>259270.89021893416</v>
      </c>
    </row>
    <row r="56" spans="1:4" ht="14.25" thickTop="1" thickBot="1" x14ac:dyDescent="0.25">
      <c r="A56" s="102" t="s">
        <v>52</v>
      </c>
      <c r="B56" s="103">
        <f t="shared" ref="B56:C56" si="1">SUM(B5:B55)</f>
        <v>403992400.00000018</v>
      </c>
      <c r="C56" s="103">
        <f t="shared" si="1"/>
        <v>201996200.00000012</v>
      </c>
      <c r="D56" s="183">
        <f>SUM(D5:D55)</f>
        <v>201996199.99999994</v>
      </c>
    </row>
    <row r="57" spans="1:4" ht="13.5" thickTop="1" x14ac:dyDescent="0.2">
      <c r="A57" s="104"/>
      <c r="B57" s="104"/>
      <c r="C57" s="104"/>
      <c r="D57" s="104"/>
    </row>
    <row r="58" spans="1:4" ht="16.5" customHeight="1" x14ac:dyDescent="0.2">
      <c r="A58" s="95" t="s">
        <v>120</v>
      </c>
    </row>
    <row r="59" spans="1:4" x14ac:dyDescent="0.2">
      <c r="A59" s="105"/>
    </row>
    <row r="62" spans="1:4" ht="16.5" customHeight="1" x14ac:dyDescent="0.2"/>
  </sheetData>
  <mergeCells count="2">
    <mergeCell ref="A1:D1"/>
    <mergeCell ref="A2:D2"/>
  </mergeCells>
  <printOptions horizontalCentered="1"/>
  <pageMargins left="0.39370078740157483" right="0.39370078740157483" top="0.47244094488188981" bottom="0.15748031496062992" header="0.15748031496062992" footer="0.15748031496062992"/>
  <pageSetup scale="95" orientation="portrait" horizontalDpi="1200" verticalDpi="1200" r:id="rId1"/>
  <headerFooter alignWithMargins="0">
    <oddHeader>&amp;LANEXO III
Pag 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64"/>
  <sheetViews>
    <sheetView zoomScaleSheetLayoutView="100" workbookViewId="0">
      <selection activeCell="C27" sqref="C27"/>
    </sheetView>
  </sheetViews>
  <sheetFormatPr baseColWidth="10" defaultColWidth="9.7109375" defaultRowHeight="12.75" x14ac:dyDescent="0.2"/>
  <cols>
    <col min="1" max="1" width="27" style="108" customWidth="1"/>
    <col min="2" max="2" width="15.140625" style="108" customWidth="1"/>
    <col min="3" max="3" width="13.42578125" style="108" customWidth="1"/>
    <col min="4" max="4" width="15.140625" style="108" customWidth="1"/>
    <col min="5" max="5" width="12.42578125" style="108" customWidth="1"/>
    <col min="6" max="6" width="8.85546875" style="108" customWidth="1"/>
    <col min="7" max="7" width="16.5703125" style="108" customWidth="1"/>
    <col min="8" max="8" width="15.85546875" style="108" customWidth="1"/>
    <col min="9" max="9" width="14.42578125" style="108" customWidth="1"/>
    <col min="10" max="10" width="12.28515625" style="108" customWidth="1"/>
    <col min="11" max="11" width="17" style="108" customWidth="1"/>
    <col min="12" max="12" width="16.140625" style="108" customWidth="1"/>
    <col min="13" max="13" width="14.140625" style="108" customWidth="1"/>
    <col min="14" max="14" width="13.5703125" style="110" customWidth="1"/>
    <col min="15" max="15" width="5.42578125" style="108" customWidth="1"/>
    <col min="16" max="16384" width="9.7109375" style="108"/>
  </cols>
  <sheetData>
    <row r="1" spans="1:14" ht="69.75" customHeight="1" x14ac:dyDescent="0.35">
      <c r="A1" s="245" t="s">
        <v>180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8.25" customHeight="1" thickBot="1" x14ac:dyDescent="0.25">
      <c r="B2" s="109"/>
    </row>
    <row r="3" spans="1:14" ht="62.25" customHeight="1" thickBot="1" x14ac:dyDescent="0.25">
      <c r="A3" s="247" t="s">
        <v>0</v>
      </c>
      <c r="B3" s="243" t="s">
        <v>163</v>
      </c>
      <c r="C3" s="243" t="s">
        <v>162</v>
      </c>
      <c r="D3" s="243" t="s">
        <v>161</v>
      </c>
      <c r="E3" s="250" t="s">
        <v>144</v>
      </c>
      <c r="F3" s="251"/>
      <c r="G3" s="111" t="s">
        <v>145</v>
      </c>
      <c r="H3" s="243" t="s">
        <v>146</v>
      </c>
      <c r="I3" s="243" t="s">
        <v>147</v>
      </c>
      <c r="J3" s="243" t="s">
        <v>148</v>
      </c>
      <c r="K3" s="112" t="s">
        <v>149</v>
      </c>
      <c r="L3" s="243" t="s">
        <v>150</v>
      </c>
      <c r="M3" s="243" t="s">
        <v>151</v>
      </c>
      <c r="N3" s="243" t="s">
        <v>181</v>
      </c>
    </row>
    <row r="4" spans="1:14" ht="20.45" customHeight="1" thickBot="1" x14ac:dyDescent="0.25">
      <c r="A4" s="248"/>
      <c r="B4" s="244"/>
      <c r="C4" s="244"/>
      <c r="D4" s="249"/>
      <c r="E4" s="252"/>
      <c r="F4" s="253"/>
      <c r="G4" s="113">
        <v>2.1299999999999999E-2</v>
      </c>
      <c r="H4" s="244"/>
      <c r="I4" s="244"/>
      <c r="J4" s="244"/>
      <c r="K4" s="114">
        <f>+H57/J57</f>
        <v>0.80264230307836437</v>
      </c>
      <c r="L4" s="244"/>
      <c r="M4" s="244"/>
      <c r="N4" s="244"/>
    </row>
    <row r="5" spans="1:14" ht="16.5" thickBot="1" x14ac:dyDescent="0.25">
      <c r="A5" s="115"/>
      <c r="B5" s="116"/>
      <c r="C5" s="116"/>
      <c r="D5" s="117" t="s">
        <v>152</v>
      </c>
      <c r="E5" s="117"/>
      <c r="F5" s="118"/>
      <c r="G5" s="117" t="s">
        <v>153</v>
      </c>
      <c r="H5" s="117" t="s">
        <v>154</v>
      </c>
      <c r="I5" s="117" t="s">
        <v>155</v>
      </c>
      <c r="J5" s="117" t="s">
        <v>156</v>
      </c>
      <c r="K5" s="117" t="s">
        <v>157</v>
      </c>
      <c r="L5" s="117"/>
      <c r="M5" s="117"/>
      <c r="N5" s="117" t="s">
        <v>158</v>
      </c>
    </row>
    <row r="6" spans="1:14" ht="12.75" customHeight="1" thickTop="1" x14ac:dyDescent="0.2">
      <c r="A6" s="1" t="s">
        <v>1</v>
      </c>
      <c r="B6" s="119">
        <v>567767.0771762908</v>
      </c>
      <c r="C6" s="119">
        <f t="shared" ref="C6:C56" si="0">(+B6*G$4)+B6</f>
        <v>579860.51592014579</v>
      </c>
      <c r="D6" s="119">
        <f>+'Dist 2016 antes de Garantia'!B5</f>
        <v>119455.56186859685</v>
      </c>
      <c r="E6" s="119">
        <f>+D6-C6</f>
        <v>-460404.95405154896</v>
      </c>
      <c r="F6" s="120">
        <f>+(D6-C6)/C6</f>
        <v>-0.79399259203044725</v>
      </c>
      <c r="G6" s="119">
        <f>IF(F6&lt;0,C6,0)</f>
        <v>579860.51592014579</v>
      </c>
      <c r="H6" s="119">
        <f>IF(F6&lt;0,G6-D6,0)</f>
        <v>460404.95405154896</v>
      </c>
      <c r="I6" s="119">
        <f>+IF(D6&gt;C6,D6,0)</f>
        <v>0</v>
      </c>
      <c r="J6" s="119">
        <f>IF(I6=0,0,D6-C6)</f>
        <v>0</v>
      </c>
      <c r="K6" s="119">
        <f>+J6*K$4</f>
        <v>0</v>
      </c>
      <c r="L6" s="119">
        <f t="shared" ref="L6:L56" si="1">IF(H6&lt;&gt;0,D6+H6,D6-K6)</f>
        <v>579860.51592014579</v>
      </c>
      <c r="M6" s="120">
        <f t="shared" ref="M6:M57" si="2">+(L6-B6)/B6</f>
        <v>2.1299999999999993E-2</v>
      </c>
      <c r="N6" s="121">
        <f>+L6/L$57</f>
        <v>1.4353253079021923E-3</v>
      </c>
    </row>
    <row r="7" spans="1:14" ht="12.75" customHeight="1" x14ac:dyDescent="0.2">
      <c r="A7" s="2" t="s">
        <v>2</v>
      </c>
      <c r="B7" s="122">
        <v>1126755.8916545606</v>
      </c>
      <c r="C7" s="122">
        <f t="shared" si="0"/>
        <v>1150755.7921468026</v>
      </c>
      <c r="D7" s="122">
        <f>+'Dist 2016 antes de Garantia'!B6</f>
        <v>541668.66486901662</v>
      </c>
      <c r="E7" s="122">
        <f t="shared" ref="E7:E56" si="3">+D7-C7</f>
        <v>-609087.12727778603</v>
      </c>
      <c r="F7" s="123">
        <f t="shared" ref="F7:F57" si="4">+(D7-C7)/C7</f>
        <v>-0.52929312321035393</v>
      </c>
      <c r="G7" s="122">
        <f t="shared" ref="G7:G56" si="5">IF(F7&lt;0,C7,0)</f>
        <v>1150755.7921468026</v>
      </c>
      <c r="H7" s="122">
        <f t="shared" ref="H7:H56" si="6">IF(F7&lt;0,G7-D7,0)</f>
        <v>609087.12727778603</v>
      </c>
      <c r="I7" s="122">
        <f t="shared" ref="I7:I56" si="7">+IF(D7&gt;C7,D7,0)</f>
        <v>0</v>
      </c>
      <c r="J7" s="122">
        <f>IF(I7=0,0,D7-C7)</f>
        <v>0</v>
      </c>
      <c r="K7" s="122">
        <f t="shared" ref="K7:K56" si="8">+J7*K$4</f>
        <v>0</v>
      </c>
      <c r="L7" s="122">
        <f t="shared" si="1"/>
        <v>1150755.7921468026</v>
      </c>
      <c r="M7" s="123">
        <f t="shared" si="2"/>
        <v>2.1299999999999941E-2</v>
      </c>
      <c r="N7" s="124">
        <f t="shared" ref="N7:N56" si="9">+L7/L$57</f>
        <v>2.8484590109784302E-3</v>
      </c>
    </row>
    <row r="8" spans="1:14" ht="12.75" customHeight="1" x14ac:dyDescent="0.2">
      <c r="A8" s="2" t="s">
        <v>3</v>
      </c>
      <c r="B8" s="122">
        <v>1102516.1756392759</v>
      </c>
      <c r="C8" s="122">
        <f t="shared" si="0"/>
        <v>1125999.7701803925</v>
      </c>
      <c r="D8" s="122">
        <f>+'Dist 2016 antes de Garantia'!B7</f>
        <v>547620.76055519306</v>
      </c>
      <c r="E8" s="122">
        <f t="shared" si="3"/>
        <v>-578379.00962519948</v>
      </c>
      <c r="F8" s="123">
        <f t="shared" si="4"/>
        <v>-0.51365819509229504</v>
      </c>
      <c r="G8" s="122">
        <f t="shared" si="5"/>
        <v>1125999.7701803925</v>
      </c>
      <c r="H8" s="122">
        <f t="shared" si="6"/>
        <v>578379.00962519948</v>
      </c>
      <c r="I8" s="122">
        <f t="shared" si="7"/>
        <v>0</v>
      </c>
      <c r="J8" s="122">
        <f t="shared" ref="J8:J56" si="10">IF(I8=0,0,D8-C8)</f>
        <v>0</v>
      </c>
      <c r="K8" s="122">
        <f t="shared" si="8"/>
        <v>0</v>
      </c>
      <c r="L8" s="122">
        <f t="shared" si="1"/>
        <v>1125999.7701803925</v>
      </c>
      <c r="M8" s="123">
        <f t="shared" si="2"/>
        <v>2.1300000000000038E-2</v>
      </c>
      <c r="N8" s="124">
        <f t="shared" si="9"/>
        <v>2.7871805761207195E-3</v>
      </c>
    </row>
    <row r="9" spans="1:14" ht="12.75" customHeight="1" x14ac:dyDescent="0.2">
      <c r="A9" s="2" t="s">
        <v>4</v>
      </c>
      <c r="B9" s="122">
        <v>2985039.9482640619</v>
      </c>
      <c r="C9" s="122">
        <f t="shared" si="0"/>
        <v>3048621.2991620866</v>
      </c>
      <c r="D9" s="122">
        <f>+'Dist 2016 antes de Garantia'!B8</f>
        <v>2301113.7845229371</v>
      </c>
      <c r="E9" s="122">
        <f t="shared" si="3"/>
        <v>-747507.51463914942</v>
      </c>
      <c r="F9" s="123">
        <f t="shared" si="4"/>
        <v>-0.24519526739664313</v>
      </c>
      <c r="G9" s="122">
        <f t="shared" si="5"/>
        <v>3048621.2991620866</v>
      </c>
      <c r="H9" s="122">
        <f t="shared" si="6"/>
        <v>747507.51463914942</v>
      </c>
      <c r="I9" s="122">
        <f t="shared" si="7"/>
        <v>0</v>
      </c>
      <c r="J9" s="122">
        <f t="shared" si="10"/>
        <v>0</v>
      </c>
      <c r="K9" s="122">
        <f t="shared" si="8"/>
        <v>0</v>
      </c>
      <c r="L9" s="122">
        <f t="shared" si="1"/>
        <v>3048621.2991620866</v>
      </c>
      <c r="M9" s="123">
        <f t="shared" si="2"/>
        <v>2.1300000000000034E-2</v>
      </c>
      <c r="N9" s="124">
        <f t="shared" si="9"/>
        <v>7.5462342835213875E-3</v>
      </c>
    </row>
    <row r="10" spans="1:14" ht="12.75" customHeight="1" x14ac:dyDescent="0.2">
      <c r="A10" s="2" t="s">
        <v>5</v>
      </c>
      <c r="B10" s="122">
        <v>4100446.9739108412</v>
      </c>
      <c r="C10" s="122">
        <f t="shared" si="0"/>
        <v>4187786.4944551419</v>
      </c>
      <c r="D10" s="122">
        <f>+'Dist 2016 antes de Garantia'!B9</f>
        <v>1562746.4825148203</v>
      </c>
      <c r="E10" s="122">
        <f t="shared" si="3"/>
        <v>-2625040.0119403219</v>
      </c>
      <c r="F10" s="123">
        <f t="shared" si="4"/>
        <v>-0.62683234100306173</v>
      </c>
      <c r="G10" s="122">
        <f t="shared" si="5"/>
        <v>4187786.4944551419</v>
      </c>
      <c r="H10" s="122">
        <f t="shared" si="6"/>
        <v>2625040.0119403219</v>
      </c>
      <c r="I10" s="122">
        <f t="shared" si="7"/>
        <v>0</v>
      </c>
      <c r="J10" s="122">
        <f t="shared" si="10"/>
        <v>0</v>
      </c>
      <c r="K10" s="122">
        <f t="shared" si="8"/>
        <v>0</v>
      </c>
      <c r="L10" s="122">
        <f t="shared" si="1"/>
        <v>4187786.4944551419</v>
      </c>
      <c r="M10" s="123">
        <f t="shared" si="2"/>
        <v>2.1299999999999968E-2</v>
      </c>
      <c r="N10" s="124">
        <f t="shared" si="9"/>
        <v>1.0366003158611747E-2</v>
      </c>
    </row>
    <row r="11" spans="1:14" ht="12.75" customHeight="1" x14ac:dyDescent="0.2">
      <c r="A11" s="2" t="s">
        <v>6</v>
      </c>
      <c r="B11" s="122">
        <v>26063964.031726379</v>
      </c>
      <c r="C11" s="122">
        <f t="shared" si="0"/>
        <v>26619126.465602152</v>
      </c>
      <c r="D11" s="122">
        <f>+'Dist 2016 antes de Garantia'!B10</f>
        <v>32168510.622196823</v>
      </c>
      <c r="E11" s="122">
        <f t="shared" si="3"/>
        <v>5549384.1565946713</v>
      </c>
      <c r="F11" s="123">
        <f t="shared" si="4"/>
        <v>0.20847356368984207</v>
      </c>
      <c r="G11" s="122">
        <f t="shared" si="5"/>
        <v>0</v>
      </c>
      <c r="H11" s="122">
        <f t="shared" si="6"/>
        <v>0</v>
      </c>
      <c r="I11" s="122">
        <f t="shared" si="7"/>
        <v>32168510.622196823</v>
      </c>
      <c r="J11" s="122">
        <f t="shared" si="10"/>
        <v>5549384.1565946713</v>
      </c>
      <c r="K11" s="122">
        <f t="shared" si="8"/>
        <v>4454170.480115734</v>
      </c>
      <c r="L11" s="122">
        <f t="shared" si="1"/>
        <v>27714340.142081089</v>
      </c>
      <c r="M11" s="123">
        <f t="shared" si="2"/>
        <v>6.3320226667969187E-2</v>
      </c>
      <c r="N11" s="124">
        <f t="shared" si="9"/>
        <v>6.8601142353373681E-2</v>
      </c>
    </row>
    <row r="12" spans="1:14" ht="12.75" customHeight="1" x14ac:dyDescent="0.2">
      <c r="A12" s="2" t="s">
        <v>7</v>
      </c>
      <c r="B12" s="122">
        <v>4570938.4121512473</v>
      </c>
      <c r="C12" s="122">
        <f t="shared" si="0"/>
        <v>4668299.4003300685</v>
      </c>
      <c r="D12" s="122">
        <f>+'Dist 2016 antes de Garantia'!B11</f>
        <v>2159682.1117685023</v>
      </c>
      <c r="E12" s="122">
        <f t="shared" si="3"/>
        <v>-2508617.2885615663</v>
      </c>
      <c r="F12" s="123">
        <f t="shared" si="4"/>
        <v>-0.53737283610905429</v>
      </c>
      <c r="G12" s="122">
        <f t="shared" si="5"/>
        <v>4668299.4003300685</v>
      </c>
      <c r="H12" s="122">
        <f t="shared" si="6"/>
        <v>2508617.2885615663</v>
      </c>
      <c r="I12" s="122">
        <f t="shared" si="7"/>
        <v>0</v>
      </c>
      <c r="J12" s="122">
        <f t="shared" si="10"/>
        <v>0</v>
      </c>
      <c r="K12" s="122">
        <f t="shared" si="8"/>
        <v>0</v>
      </c>
      <c r="L12" s="122">
        <f t="shared" si="1"/>
        <v>4668299.4003300685</v>
      </c>
      <c r="M12" s="123">
        <f t="shared" si="2"/>
        <v>2.1299999999999937E-2</v>
      </c>
      <c r="N12" s="124">
        <f t="shared" si="9"/>
        <v>1.1555413914544102E-2</v>
      </c>
    </row>
    <row r="13" spans="1:14" ht="12.75" customHeight="1" x14ac:dyDescent="0.2">
      <c r="A13" s="2" t="s">
        <v>8</v>
      </c>
      <c r="B13" s="122">
        <v>742471.83683169028</v>
      </c>
      <c r="C13" s="122">
        <f t="shared" si="0"/>
        <v>758286.48695620534</v>
      </c>
      <c r="D13" s="122">
        <f>+'Dist 2016 antes de Garantia'!B12</f>
        <v>290383.18746117922</v>
      </c>
      <c r="E13" s="122">
        <f t="shared" si="3"/>
        <v>-467903.29949502612</v>
      </c>
      <c r="F13" s="123">
        <f t="shared" si="4"/>
        <v>-0.61705345874381878</v>
      </c>
      <c r="G13" s="122">
        <f t="shared" si="5"/>
        <v>758286.48695620534</v>
      </c>
      <c r="H13" s="122">
        <f t="shared" si="6"/>
        <v>467903.29949502612</v>
      </c>
      <c r="I13" s="122">
        <f t="shared" si="7"/>
        <v>0</v>
      </c>
      <c r="J13" s="122">
        <f t="shared" si="10"/>
        <v>0</v>
      </c>
      <c r="K13" s="122">
        <f t="shared" si="8"/>
        <v>0</v>
      </c>
      <c r="L13" s="122">
        <f t="shared" si="1"/>
        <v>758286.48695620534</v>
      </c>
      <c r="M13" s="123">
        <f t="shared" si="2"/>
        <v>2.1300000000000072E-2</v>
      </c>
      <c r="N13" s="124">
        <f t="shared" si="9"/>
        <v>1.8769820594550916E-3</v>
      </c>
    </row>
    <row r="14" spans="1:14" ht="12.75" customHeight="1" x14ac:dyDescent="0.2">
      <c r="A14" s="2" t="s">
        <v>9</v>
      </c>
      <c r="B14" s="122">
        <v>7399781.3477634275</v>
      </c>
      <c r="C14" s="122">
        <f t="shared" si="0"/>
        <v>7557396.6904707886</v>
      </c>
      <c r="D14" s="122">
        <f>+'Dist 2016 antes de Garantia'!B13</f>
        <v>6339381.8855452407</v>
      </c>
      <c r="E14" s="122">
        <f t="shared" si="3"/>
        <v>-1218014.8049255479</v>
      </c>
      <c r="F14" s="123">
        <f t="shared" si="4"/>
        <v>-0.16116856833271134</v>
      </c>
      <c r="G14" s="122">
        <f t="shared" si="5"/>
        <v>7557396.6904707886</v>
      </c>
      <c r="H14" s="122">
        <f t="shared" si="6"/>
        <v>1218014.8049255479</v>
      </c>
      <c r="I14" s="122">
        <f t="shared" si="7"/>
        <v>0</v>
      </c>
      <c r="J14" s="122">
        <f t="shared" si="10"/>
        <v>0</v>
      </c>
      <c r="K14" s="122">
        <f t="shared" si="8"/>
        <v>0</v>
      </c>
      <c r="L14" s="122">
        <f t="shared" si="1"/>
        <v>7557396.6904707886</v>
      </c>
      <c r="M14" s="123">
        <f t="shared" si="2"/>
        <v>2.1300000000000013E-2</v>
      </c>
      <c r="N14" s="124">
        <f t="shared" si="9"/>
        <v>1.870677936137112E-2</v>
      </c>
    </row>
    <row r="15" spans="1:14" ht="12.75" customHeight="1" x14ac:dyDescent="0.2">
      <c r="A15" s="2" t="s">
        <v>10</v>
      </c>
      <c r="B15" s="122">
        <v>1055298.0453862371</v>
      </c>
      <c r="C15" s="122">
        <f t="shared" si="0"/>
        <v>1077775.893752964</v>
      </c>
      <c r="D15" s="122">
        <f>+'Dist 2016 antes de Garantia'!B14</f>
        <v>1109431.8808504436</v>
      </c>
      <c r="E15" s="122">
        <f t="shared" si="3"/>
        <v>31655.987097479636</v>
      </c>
      <c r="F15" s="123">
        <f t="shared" si="4"/>
        <v>2.9371585763761272E-2</v>
      </c>
      <c r="G15" s="122">
        <f t="shared" si="5"/>
        <v>0</v>
      </c>
      <c r="H15" s="122">
        <f t="shared" si="6"/>
        <v>0</v>
      </c>
      <c r="I15" s="122">
        <f t="shared" si="7"/>
        <v>1109431.8808504436</v>
      </c>
      <c r="J15" s="122">
        <f t="shared" si="10"/>
        <v>31655.987097479636</v>
      </c>
      <c r="K15" s="122">
        <f t="shared" si="8"/>
        <v>25408.434390140043</v>
      </c>
      <c r="L15" s="122">
        <f t="shared" si="1"/>
        <v>1084023.4464603036</v>
      </c>
      <c r="M15" s="123">
        <f t="shared" si="2"/>
        <v>2.7220178412775402E-2</v>
      </c>
      <c r="N15" s="124">
        <f t="shared" si="9"/>
        <v>2.6832768301094361E-3</v>
      </c>
    </row>
    <row r="16" spans="1:14" s="125" customFormat="1" ht="12.75" customHeight="1" x14ac:dyDescent="0.2">
      <c r="A16" s="2" t="s">
        <v>11</v>
      </c>
      <c r="B16" s="122">
        <v>1487981.3138309876</v>
      </c>
      <c r="C16" s="122">
        <f t="shared" si="0"/>
        <v>1519675.3158155875</v>
      </c>
      <c r="D16" s="122">
        <f>+'Dist 2016 antes de Garantia'!B15</f>
        <v>687417.02887235663</v>
      </c>
      <c r="E16" s="122">
        <f t="shared" si="3"/>
        <v>-832258.28694323089</v>
      </c>
      <c r="F16" s="123">
        <f t="shared" si="4"/>
        <v>-0.54765533024175628</v>
      </c>
      <c r="G16" s="122">
        <f t="shared" si="5"/>
        <v>1519675.3158155875</v>
      </c>
      <c r="H16" s="122">
        <f t="shared" si="6"/>
        <v>832258.28694323089</v>
      </c>
      <c r="I16" s="122">
        <f t="shared" si="7"/>
        <v>0</v>
      </c>
      <c r="J16" s="122">
        <f t="shared" si="10"/>
        <v>0</v>
      </c>
      <c r="K16" s="122">
        <f t="shared" si="8"/>
        <v>0</v>
      </c>
      <c r="L16" s="122">
        <f t="shared" si="1"/>
        <v>1519675.3158155875</v>
      </c>
      <c r="M16" s="123">
        <f t="shared" si="2"/>
        <v>2.1299999999999961E-2</v>
      </c>
      <c r="N16" s="124">
        <f t="shared" si="9"/>
        <v>3.7616433274873166E-3</v>
      </c>
    </row>
    <row r="17" spans="1:14" ht="12.75" customHeight="1" x14ac:dyDescent="0.2">
      <c r="A17" s="2" t="s">
        <v>12</v>
      </c>
      <c r="B17" s="122">
        <v>3755631.084409405</v>
      </c>
      <c r="C17" s="122">
        <f t="shared" si="0"/>
        <v>3835626.0265073255</v>
      </c>
      <c r="D17" s="122">
        <f>+'Dist 2016 antes de Garantia'!B16</f>
        <v>1495946.5701119783</v>
      </c>
      <c r="E17" s="122">
        <f t="shared" si="3"/>
        <v>-2339679.4563953471</v>
      </c>
      <c r="F17" s="123">
        <f t="shared" si="4"/>
        <v>-0.60998633345019582</v>
      </c>
      <c r="G17" s="122">
        <f t="shared" si="5"/>
        <v>3835626.0265073255</v>
      </c>
      <c r="H17" s="122">
        <f t="shared" si="6"/>
        <v>2339679.4563953471</v>
      </c>
      <c r="I17" s="122">
        <f t="shared" si="7"/>
        <v>0</v>
      </c>
      <c r="J17" s="122">
        <f t="shared" si="10"/>
        <v>0</v>
      </c>
      <c r="K17" s="122">
        <f t="shared" si="8"/>
        <v>0</v>
      </c>
      <c r="L17" s="122">
        <f t="shared" si="1"/>
        <v>3835626.0265073255</v>
      </c>
      <c r="M17" s="123">
        <f t="shared" si="2"/>
        <v>2.1300000000000034E-2</v>
      </c>
      <c r="N17" s="124">
        <f t="shared" si="9"/>
        <v>9.4943024336777739E-3</v>
      </c>
    </row>
    <row r="18" spans="1:14" ht="12.75" customHeight="1" x14ac:dyDescent="0.2">
      <c r="A18" s="2" t="s">
        <v>13</v>
      </c>
      <c r="B18" s="122">
        <v>1909831.4726573303</v>
      </c>
      <c r="C18" s="122">
        <f t="shared" si="0"/>
        <v>1950510.8830249314</v>
      </c>
      <c r="D18" s="122">
        <f>+'Dist 2016 antes de Garantia'!B17</f>
        <v>4246936.509764906</v>
      </c>
      <c r="E18" s="122">
        <f t="shared" si="3"/>
        <v>2296425.6267399746</v>
      </c>
      <c r="F18" s="123">
        <f t="shared" si="4"/>
        <v>1.1773457132310816</v>
      </c>
      <c r="G18" s="122">
        <f t="shared" si="5"/>
        <v>0</v>
      </c>
      <c r="H18" s="122">
        <f t="shared" si="6"/>
        <v>0</v>
      </c>
      <c r="I18" s="122">
        <f t="shared" si="7"/>
        <v>4246936.509764906</v>
      </c>
      <c r="J18" s="122">
        <f t="shared" si="10"/>
        <v>2296425.6267399746</v>
      </c>
      <c r="K18" s="122">
        <f t="shared" si="8"/>
        <v>1843208.3538947497</v>
      </c>
      <c r="L18" s="122">
        <f t="shared" si="1"/>
        <v>2403728.1558701564</v>
      </c>
      <c r="M18" s="123">
        <f t="shared" si="2"/>
        <v>0.25860746892270059</v>
      </c>
      <c r="N18" s="124">
        <f t="shared" si="9"/>
        <v>5.9499340974487535E-3</v>
      </c>
    </row>
    <row r="19" spans="1:14" ht="12.75" customHeight="1" x14ac:dyDescent="0.2">
      <c r="A19" s="2" t="s">
        <v>14</v>
      </c>
      <c r="B19" s="122">
        <v>9975281.5474058688</v>
      </c>
      <c r="C19" s="122">
        <f t="shared" si="0"/>
        <v>10187755.044365615</v>
      </c>
      <c r="D19" s="122">
        <f>+'Dist 2016 antes de Garantia'!B18</f>
        <v>4881722.6127179619</v>
      </c>
      <c r="E19" s="122">
        <f t="shared" si="3"/>
        <v>-5306032.4316476528</v>
      </c>
      <c r="F19" s="123">
        <f t="shared" si="4"/>
        <v>-0.52082450044597206</v>
      </c>
      <c r="G19" s="122">
        <f t="shared" si="5"/>
        <v>10187755.044365615</v>
      </c>
      <c r="H19" s="122">
        <f t="shared" si="6"/>
        <v>5306032.4316476528</v>
      </c>
      <c r="I19" s="122">
        <f t="shared" si="7"/>
        <v>0</v>
      </c>
      <c r="J19" s="122">
        <f t="shared" si="10"/>
        <v>0</v>
      </c>
      <c r="K19" s="122">
        <f t="shared" si="8"/>
        <v>0</v>
      </c>
      <c r="L19" s="122">
        <f t="shared" si="1"/>
        <v>10187755.044365615</v>
      </c>
      <c r="M19" s="123">
        <f t="shared" si="2"/>
        <v>2.130000000000009E-2</v>
      </c>
      <c r="N19" s="124">
        <f t="shared" si="9"/>
        <v>2.5217689848535792E-2</v>
      </c>
    </row>
    <row r="20" spans="1:14" ht="12.75" customHeight="1" x14ac:dyDescent="0.2">
      <c r="A20" s="2" t="s">
        <v>15</v>
      </c>
      <c r="B20" s="122">
        <v>1247162.3428965486</v>
      </c>
      <c r="C20" s="122">
        <f t="shared" si="0"/>
        <v>1273726.9008002451</v>
      </c>
      <c r="D20" s="122">
        <f>+'Dist 2016 antes de Garantia'!B19</f>
        <v>619814.36038424051</v>
      </c>
      <c r="E20" s="122">
        <f t="shared" si="3"/>
        <v>-653912.5404160046</v>
      </c>
      <c r="F20" s="123">
        <f t="shared" si="4"/>
        <v>-0.51338520055215175</v>
      </c>
      <c r="G20" s="122">
        <f t="shared" si="5"/>
        <v>1273726.9008002451</v>
      </c>
      <c r="H20" s="122">
        <f t="shared" si="6"/>
        <v>653912.5404160046</v>
      </c>
      <c r="I20" s="122">
        <f t="shared" si="7"/>
        <v>0</v>
      </c>
      <c r="J20" s="122">
        <f t="shared" si="10"/>
        <v>0</v>
      </c>
      <c r="K20" s="122">
        <f t="shared" si="8"/>
        <v>0</v>
      </c>
      <c r="L20" s="122">
        <f t="shared" si="1"/>
        <v>1273726.9008002451</v>
      </c>
      <c r="M20" s="123">
        <f t="shared" si="2"/>
        <v>2.1300000000000052E-2</v>
      </c>
      <c r="N20" s="124">
        <f t="shared" si="9"/>
        <v>3.1528486694310208E-3</v>
      </c>
    </row>
    <row r="21" spans="1:14" ht="12.75" customHeight="1" x14ac:dyDescent="0.2">
      <c r="A21" s="2" t="s">
        <v>16</v>
      </c>
      <c r="B21" s="122">
        <v>928848.71153374761</v>
      </c>
      <c r="C21" s="122">
        <f t="shared" si="0"/>
        <v>948633.18908941641</v>
      </c>
      <c r="D21" s="122">
        <f>+'Dist 2016 antes de Garantia'!B20</f>
        <v>280575.63898027805</v>
      </c>
      <c r="E21" s="122">
        <f t="shared" si="3"/>
        <v>-668057.55010913836</v>
      </c>
      <c r="F21" s="123">
        <f t="shared" si="4"/>
        <v>-0.70423168595903773</v>
      </c>
      <c r="G21" s="122">
        <f t="shared" si="5"/>
        <v>948633.18908941641</v>
      </c>
      <c r="H21" s="122">
        <f t="shared" si="6"/>
        <v>668057.55010913836</v>
      </c>
      <c r="I21" s="122">
        <f t="shared" si="7"/>
        <v>0</v>
      </c>
      <c r="J21" s="122">
        <f t="shared" si="10"/>
        <v>0</v>
      </c>
      <c r="K21" s="122">
        <f t="shared" si="8"/>
        <v>0</v>
      </c>
      <c r="L21" s="122">
        <f t="shared" si="1"/>
        <v>948633.18908941641</v>
      </c>
      <c r="M21" s="123">
        <f t="shared" si="2"/>
        <v>2.1299999999999972E-2</v>
      </c>
      <c r="N21" s="124">
        <f t="shared" si="9"/>
        <v>2.3481461262375631E-3</v>
      </c>
    </row>
    <row r="22" spans="1:14" ht="12.75" customHeight="1" x14ac:dyDescent="0.2">
      <c r="A22" s="2" t="s">
        <v>17</v>
      </c>
      <c r="B22" s="122">
        <v>8163048.2995814364</v>
      </c>
      <c r="C22" s="122">
        <f t="shared" si="0"/>
        <v>8336921.2283625212</v>
      </c>
      <c r="D22" s="122">
        <f>+'Dist 2016 antes de Garantia'!B21</f>
        <v>3688020.7220103606</v>
      </c>
      <c r="E22" s="122">
        <f t="shared" si="3"/>
        <v>-4648900.5063521601</v>
      </c>
      <c r="F22" s="123">
        <f t="shared" si="4"/>
        <v>-0.55762797548529364</v>
      </c>
      <c r="G22" s="122">
        <f t="shared" si="5"/>
        <v>8336921.2283625212</v>
      </c>
      <c r="H22" s="122">
        <f t="shared" si="6"/>
        <v>4648900.5063521601</v>
      </c>
      <c r="I22" s="122">
        <f t="shared" si="7"/>
        <v>0</v>
      </c>
      <c r="J22" s="122">
        <f t="shared" si="10"/>
        <v>0</v>
      </c>
      <c r="K22" s="122">
        <f t="shared" si="8"/>
        <v>0</v>
      </c>
      <c r="L22" s="122">
        <f t="shared" si="1"/>
        <v>8336921.2283625212</v>
      </c>
      <c r="M22" s="123">
        <f t="shared" si="2"/>
        <v>2.1300000000000013E-2</v>
      </c>
      <c r="N22" s="124">
        <f t="shared" si="9"/>
        <v>2.0636331842783476E-2</v>
      </c>
    </row>
    <row r="23" spans="1:14" ht="12.75" customHeight="1" x14ac:dyDescent="0.2">
      <c r="A23" s="2" t="s">
        <v>18</v>
      </c>
      <c r="B23" s="122">
        <v>8362329.2047943417</v>
      </c>
      <c r="C23" s="122">
        <f t="shared" si="0"/>
        <v>8540446.8168564606</v>
      </c>
      <c r="D23" s="122">
        <f>+'Dist 2016 antes de Garantia'!B22</f>
        <v>8990329.3891447242</v>
      </c>
      <c r="E23" s="122">
        <f t="shared" si="3"/>
        <v>449882.57228826359</v>
      </c>
      <c r="F23" s="123">
        <f t="shared" si="4"/>
        <v>5.2676702043307717E-2</v>
      </c>
      <c r="G23" s="122">
        <f t="shared" si="5"/>
        <v>0</v>
      </c>
      <c r="H23" s="122">
        <f t="shared" si="6"/>
        <v>0</v>
      </c>
      <c r="I23" s="122">
        <f t="shared" si="7"/>
        <v>8990329.3891447242</v>
      </c>
      <c r="J23" s="122">
        <f t="shared" si="10"/>
        <v>449882.57228826359</v>
      </c>
      <c r="K23" s="122">
        <f t="shared" si="8"/>
        <v>361094.78393627063</v>
      </c>
      <c r="L23" s="122">
        <f t="shared" si="1"/>
        <v>8629234.6052084528</v>
      </c>
      <c r="M23" s="123">
        <f t="shared" si="2"/>
        <v>3.1917590647003856E-2</v>
      </c>
      <c r="N23" s="124">
        <f t="shared" si="9"/>
        <v>2.1359893416827768E-2</v>
      </c>
    </row>
    <row r="24" spans="1:14" ht="12.75" customHeight="1" x14ac:dyDescent="0.2">
      <c r="A24" s="2" t="s">
        <v>19</v>
      </c>
      <c r="B24" s="122">
        <v>1567181.4374919087</v>
      </c>
      <c r="C24" s="122">
        <f t="shared" si="0"/>
        <v>1600562.4021104863</v>
      </c>
      <c r="D24" s="122">
        <f>+'Dist 2016 antes de Garantia'!B23</f>
        <v>613740.51163294911</v>
      </c>
      <c r="E24" s="122">
        <f t="shared" si="3"/>
        <v>-986821.89047753718</v>
      </c>
      <c r="F24" s="123">
        <f t="shared" si="4"/>
        <v>-0.61654696447718826</v>
      </c>
      <c r="G24" s="122">
        <f t="shared" si="5"/>
        <v>1600562.4021104863</v>
      </c>
      <c r="H24" s="122">
        <f t="shared" si="6"/>
        <v>986821.89047753718</v>
      </c>
      <c r="I24" s="122">
        <f t="shared" si="7"/>
        <v>0</v>
      </c>
      <c r="J24" s="122">
        <f t="shared" si="10"/>
        <v>0</v>
      </c>
      <c r="K24" s="122">
        <f t="shared" si="8"/>
        <v>0</v>
      </c>
      <c r="L24" s="122">
        <f t="shared" si="1"/>
        <v>1600562.4021104863</v>
      </c>
      <c r="M24" s="123">
        <f t="shared" si="2"/>
        <v>2.1299999999999979E-2</v>
      </c>
      <c r="N24" s="124">
        <f t="shared" si="9"/>
        <v>3.9618626541253893E-3</v>
      </c>
    </row>
    <row r="25" spans="1:14" ht="12.75" customHeight="1" x14ac:dyDescent="0.2">
      <c r="A25" s="2" t="s">
        <v>20</v>
      </c>
      <c r="B25" s="122">
        <v>21356094.542094003</v>
      </c>
      <c r="C25" s="122">
        <f t="shared" si="0"/>
        <v>21810979.355840605</v>
      </c>
      <c r="D25" s="122">
        <f>+'Dist 2016 antes de Garantia'!B24</f>
        <v>15849613.407779783</v>
      </c>
      <c r="E25" s="122">
        <f t="shared" si="3"/>
        <v>-5961365.9480608217</v>
      </c>
      <c r="F25" s="123">
        <f t="shared" si="4"/>
        <v>-0.27331949890019364</v>
      </c>
      <c r="G25" s="122">
        <f t="shared" si="5"/>
        <v>21810979.355840605</v>
      </c>
      <c r="H25" s="122">
        <f t="shared" si="6"/>
        <v>5961365.9480608217</v>
      </c>
      <c r="I25" s="122">
        <f t="shared" si="7"/>
        <v>0</v>
      </c>
      <c r="J25" s="122">
        <f t="shared" si="10"/>
        <v>0</v>
      </c>
      <c r="K25" s="122">
        <f t="shared" si="8"/>
        <v>0</v>
      </c>
      <c r="L25" s="122">
        <f t="shared" si="1"/>
        <v>21810979.355840605</v>
      </c>
      <c r="M25" s="123">
        <f t="shared" si="2"/>
        <v>2.1299999999999958E-2</v>
      </c>
      <c r="N25" s="124">
        <f t="shared" si="9"/>
        <v>5.39885882898802E-2</v>
      </c>
    </row>
    <row r="26" spans="1:14" s="125" customFormat="1" ht="12.75" customHeight="1" x14ac:dyDescent="0.2">
      <c r="A26" s="2" t="s">
        <v>21</v>
      </c>
      <c r="B26" s="122">
        <v>3165159.7653750223</v>
      </c>
      <c r="C26" s="122">
        <f t="shared" si="0"/>
        <v>3232577.6683775103</v>
      </c>
      <c r="D26" s="122">
        <f>+'Dist 2016 antes de Garantia'!B25</f>
        <v>1429572.4655926472</v>
      </c>
      <c r="E26" s="122">
        <f t="shared" si="3"/>
        <v>-1803005.2027848631</v>
      </c>
      <c r="F26" s="123">
        <f t="shared" si="4"/>
        <v>-0.55776082982402841</v>
      </c>
      <c r="G26" s="122">
        <f t="shared" si="5"/>
        <v>3232577.6683775103</v>
      </c>
      <c r="H26" s="122">
        <f t="shared" si="6"/>
        <v>1803005.2027848631</v>
      </c>
      <c r="I26" s="122">
        <f t="shared" si="7"/>
        <v>0</v>
      </c>
      <c r="J26" s="122">
        <f t="shared" si="10"/>
        <v>0</v>
      </c>
      <c r="K26" s="122">
        <f t="shared" si="8"/>
        <v>0</v>
      </c>
      <c r="L26" s="122">
        <f t="shared" si="1"/>
        <v>3232577.6683775103</v>
      </c>
      <c r="M26" s="123">
        <f t="shared" si="2"/>
        <v>2.1299999999999996E-2</v>
      </c>
      <c r="N26" s="124">
        <f t="shared" si="9"/>
        <v>8.0015803970013028E-3</v>
      </c>
    </row>
    <row r="27" spans="1:14" ht="12.75" customHeight="1" x14ac:dyDescent="0.2">
      <c r="A27" s="2" t="s">
        <v>22</v>
      </c>
      <c r="B27" s="122">
        <v>505864.86477710638</v>
      </c>
      <c r="C27" s="122">
        <f t="shared" si="0"/>
        <v>516639.78639685875</v>
      </c>
      <c r="D27" s="122">
        <f>+'Dist 2016 antes de Garantia'!B26</f>
        <v>112458.80175506941</v>
      </c>
      <c r="E27" s="122">
        <f t="shared" si="3"/>
        <v>-404180.98464178934</v>
      </c>
      <c r="F27" s="123">
        <f t="shared" si="4"/>
        <v>-0.78232647830052371</v>
      </c>
      <c r="G27" s="122">
        <f t="shared" si="5"/>
        <v>516639.78639685875</v>
      </c>
      <c r="H27" s="122">
        <f t="shared" si="6"/>
        <v>404180.98464178934</v>
      </c>
      <c r="I27" s="122">
        <f t="shared" si="7"/>
        <v>0</v>
      </c>
      <c r="J27" s="122">
        <f t="shared" si="10"/>
        <v>0</v>
      </c>
      <c r="K27" s="122">
        <f t="shared" si="8"/>
        <v>0</v>
      </c>
      <c r="L27" s="122">
        <f t="shared" si="1"/>
        <v>516639.78639685875</v>
      </c>
      <c r="M27" s="123">
        <f t="shared" si="2"/>
        <v>2.1299999999999996E-2</v>
      </c>
      <c r="N27" s="124">
        <f t="shared" si="9"/>
        <v>1.2788354097672595E-3</v>
      </c>
    </row>
    <row r="28" spans="1:14" ht="12.75" customHeight="1" x14ac:dyDescent="0.2">
      <c r="A28" s="2" t="s">
        <v>23</v>
      </c>
      <c r="B28" s="122">
        <v>2322643.8625560962</v>
      </c>
      <c r="C28" s="122">
        <f t="shared" si="0"/>
        <v>2372116.1768285409</v>
      </c>
      <c r="D28" s="122">
        <f>+'Dist 2016 antes de Garantia'!B27</f>
        <v>1071563.4437501703</v>
      </c>
      <c r="E28" s="122">
        <f t="shared" si="3"/>
        <v>-1300552.7330783706</v>
      </c>
      <c r="F28" s="123">
        <f t="shared" si="4"/>
        <v>-0.54826687907721983</v>
      </c>
      <c r="G28" s="122">
        <f t="shared" si="5"/>
        <v>2372116.1768285409</v>
      </c>
      <c r="H28" s="122">
        <f t="shared" si="6"/>
        <v>1300552.7330783706</v>
      </c>
      <c r="I28" s="122">
        <f t="shared" si="7"/>
        <v>0</v>
      </c>
      <c r="J28" s="122">
        <f t="shared" si="10"/>
        <v>0</v>
      </c>
      <c r="K28" s="122">
        <f t="shared" si="8"/>
        <v>0</v>
      </c>
      <c r="L28" s="122">
        <f t="shared" si="1"/>
        <v>2372116.1768285409</v>
      </c>
      <c r="M28" s="123">
        <f t="shared" si="2"/>
        <v>2.1299999999999934E-2</v>
      </c>
      <c r="N28" s="124">
        <f t="shared" si="9"/>
        <v>5.8716851525636134E-3</v>
      </c>
    </row>
    <row r="29" spans="1:14" ht="12.75" customHeight="1" x14ac:dyDescent="0.2">
      <c r="A29" s="2" t="s">
        <v>24</v>
      </c>
      <c r="B29" s="122">
        <v>2237106.1209248472</v>
      </c>
      <c r="C29" s="122">
        <f t="shared" si="0"/>
        <v>2284756.4813005463</v>
      </c>
      <c r="D29" s="122">
        <f>+'Dist 2016 antes de Garantia'!B28</f>
        <v>931689.07290996355</v>
      </c>
      <c r="E29" s="122">
        <f t="shared" si="3"/>
        <v>-1353067.4083905828</v>
      </c>
      <c r="F29" s="123">
        <f t="shared" si="4"/>
        <v>-0.5922151526714915</v>
      </c>
      <c r="G29" s="122">
        <f t="shared" si="5"/>
        <v>2284756.4813005463</v>
      </c>
      <c r="H29" s="122">
        <f t="shared" si="6"/>
        <v>1353067.4083905828</v>
      </c>
      <c r="I29" s="122">
        <f t="shared" si="7"/>
        <v>0</v>
      </c>
      <c r="J29" s="122">
        <f t="shared" si="10"/>
        <v>0</v>
      </c>
      <c r="K29" s="122">
        <f t="shared" si="8"/>
        <v>0</v>
      </c>
      <c r="L29" s="122">
        <f t="shared" si="1"/>
        <v>2284756.4813005463</v>
      </c>
      <c r="M29" s="123">
        <f t="shared" si="2"/>
        <v>2.1299999999999944E-2</v>
      </c>
      <c r="N29" s="124">
        <f t="shared" si="9"/>
        <v>5.6554442145459807E-3</v>
      </c>
    </row>
    <row r="30" spans="1:14" ht="12.75" customHeight="1" x14ac:dyDescent="0.2">
      <c r="A30" s="2" t="s">
        <v>25</v>
      </c>
      <c r="B30" s="122">
        <v>36104174.311769076</v>
      </c>
      <c r="C30" s="122">
        <f t="shared" si="0"/>
        <v>36873193.224609755</v>
      </c>
      <c r="D30" s="122">
        <f>+'Dist 2016 antes de Garantia'!B29</f>
        <v>27518845.615967289</v>
      </c>
      <c r="E30" s="122">
        <f t="shared" si="3"/>
        <v>-9354347.6086424664</v>
      </c>
      <c r="F30" s="123">
        <f t="shared" si="4"/>
        <v>-0.25368965339294852</v>
      </c>
      <c r="G30" s="122">
        <f t="shared" si="5"/>
        <v>36873193.224609755</v>
      </c>
      <c r="H30" s="122">
        <f t="shared" si="6"/>
        <v>9354347.6086424664</v>
      </c>
      <c r="I30" s="122">
        <f t="shared" si="7"/>
        <v>0</v>
      </c>
      <c r="J30" s="122">
        <f t="shared" si="10"/>
        <v>0</v>
      </c>
      <c r="K30" s="122">
        <f t="shared" si="8"/>
        <v>0</v>
      </c>
      <c r="L30" s="122">
        <f t="shared" si="1"/>
        <v>36873193.224609755</v>
      </c>
      <c r="M30" s="123">
        <f t="shared" si="2"/>
        <v>2.1299999999999944E-2</v>
      </c>
      <c r="N30" s="124">
        <f t="shared" si="9"/>
        <v>9.1271997256903215E-2</v>
      </c>
    </row>
    <row r="31" spans="1:14" ht="12.75" customHeight="1" x14ac:dyDescent="0.2">
      <c r="A31" s="2" t="s">
        <v>26</v>
      </c>
      <c r="B31" s="122">
        <v>942575.63076300779</v>
      </c>
      <c r="C31" s="122">
        <f t="shared" si="0"/>
        <v>962652.49169825984</v>
      </c>
      <c r="D31" s="122">
        <f>+'Dist 2016 antes de Garantia'!B30</f>
        <v>290846.86241182726</v>
      </c>
      <c r="E31" s="122">
        <f t="shared" si="3"/>
        <v>-671805.62928643264</v>
      </c>
      <c r="F31" s="123">
        <f t="shared" si="4"/>
        <v>-0.69786930910163569</v>
      </c>
      <c r="G31" s="122">
        <f t="shared" si="5"/>
        <v>962652.49169825984</v>
      </c>
      <c r="H31" s="122">
        <f t="shared" si="6"/>
        <v>671805.62928643264</v>
      </c>
      <c r="I31" s="122">
        <f t="shared" si="7"/>
        <v>0</v>
      </c>
      <c r="J31" s="122">
        <f t="shared" si="10"/>
        <v>0</v>
      </c>
      <c r="K31" s="122">
        <f t="shared" si="8"/>
        <v>0</v>
      </c>
      <c r="L31" s="122">
        <f t="shared" si="1"/>
        <v>962652.49169825995</v>
      </c>
      <c r="M31" s="123">
        <f t="shared" si="2"/>
        <v>2.13000000000001E-2</v>
      </c>
      <c r="N31" s="124">
        <f t="shared" si="9"/>
        <v>2.3828480231268202E-3</v>
      </c>
    </row>
    <row r="32" spans="1:14" ht="12.75" customHeight="1" x14ac:dyDescent="0.2">
      <c r="A32" s="2" t="s">
        <v>27</v>
      </c>
      <c r="B32" s="122">
        <v>1624068.8189789285</v>
      </c>
      <c r="C32" s="122">
        <f t="shared" si="0"/>
        <v>1658661.4848231797</v>
      </c>
      <c r="D32" s="122">
        <f>+'Dist 2016 antes de Garantia'!B31</f>
        <v>755719.30247071083</v>
      </c>
      <c r="E32" s="122">
        <f t="shared" si="3"/>
        <v>-902942.18235246884</v>
      </c>
      <c r="F32" s="123">
        <f t="shared" si="4"/>
        <v>-0.54438002607188185</v>
      </c>
      <c r="G32" s="122">
        <f t="shared" si="5"/>
        <v>1658661.4848231797</v>
      </c>
      <c r="H32" s="122">
        <f t="shared" si="6"/>
        <v>902942.18235246884</v>
      </c>
      <c r="I32" s="122">
        <f t="shared" si="7"/>
        <v>0</v>
      </c>
      <c r="J32" s="122">
        <f t="shared" si="10"/>
        <v>0</v>
      </c>
      <c r="K32" s="122">
        <f t="shared" si="8"/>
        <v>0</v>
      </c>
      <c r="L32" s="122">
        <f t="shared" si="1"/>
        <v>1658661.4848231797</v>
      </c>
      <c r="M32" s="123">
        <f t="shared" si="2"/>
        <v>2.1299999999999996E-2</v>
      </c>
      <c r="N32" s="124">
        <f t="shared" si="9"/>
        <v>4.1056749701805758E-3</v>
      </c>
    </row>
    <row r="33" spans="1:14" ht="12.75" customHeight="1" x14ac:dyDescent="0.2">
      <c r="A33" s="2" t="s">
        <v>28</v>
      </c>
      <c r="B33" s="122">
        <v>876161.20694752305</v>
      </c>
      <c r="C33" s="122">
        <f t="shared" si="0"/>
        <v>894823.44065550528</v>
      </c>
      <c r="D33" s="122">
        <f>+'Dist 2016 antes de Garantia'!B32</f>
        <v>442882.50389586197</v>
      </c>
      <c r="E33" s="122">
        <f t="shared" si="3"/>
        <v>-451940.93675964331</v>
      </c>
      <c r="F33" s="123">
        <f t="shared" si="4"/>
        <v>-0.50506157553111575</v>
      </c>
      <c r="G33" s="122">
        <f t="shared" si="5"/>
        <v>894823.44065550528</v>
      </c>
      <c r="H33" s="122">
        <f t="shared" si="6"/>
        <v>451940.93675964331</v>
      </c>
      <c r="I33" s="122">
        <f t="shared" si="7"/>
        <v>0</v>
      </c>
      <c r="J33" s="122">
        <f t="shared" si="10"/>
        <v>0</v>
      </c>
      <c r="K33" s="122">
        <f t="shared" si="8"/>
        <v>0</v>
      </c>
      <c r="L33" s="122">
        <f t="shared" si="1"/>
        <v>894823.44065550528</v>
      </c>
      <c r="M33" s="123">
        <f t="shared" si="2"/>
        <v>2.1299999999999989E-2</v>
      </c>
      <c r="N33" s="124">
        <f t="shared" si="9"/>
        <v>2.2149511739713544E-3</v>
      </c>
    </row>
    <row r="34" spans="1:14" ht="12.75" customHeight="1" x14ac:dyDescent="0.2">
      <c r="A34" s="2" t="s">
        <v>29</v>
      </c>
      <c r="B34" s="122">
        <v>1299730.9846022048</v>
      </c>
      <c r="C34" s="122">
        <f t="shared" si="0"/>
        <v>1327415.2545742318</v>
      </c>
      <c r="D34" s="122">
        <f>+'Dist 2016 antes de Garantia'!B33</f>
        <v>502553.56367907196</v>
      </c>
      <c r="E34" s="122">
        <f t="shared" si="3"/>
        <v>-824861.69089515985</v>
      </c>
      <c r="F34" s="123">
        <f t="shared" si="4"/>
        <v>-0.62140440834374322</v>
      </c>
      <c r="G34" s="122">
        <f t="shared" si="5"/>
        <v>1327415.2545742318</v>
      </c>
      <c r="H34" s="122">
        <f t="shared" si="6"/>
        <v>824861.69089515985</v>
      </c>
      <c r="I34" s="122">
        <f t="shared" si="7"/>
        <v>0</v>
      </c>
      <c r="J34" s="122">
        <f t="shared" si="10"/>
        <v>0</v>
      </c>
      <c r="K34" s="122">
        <f t="shared" si="8"/>
        <v>0</v>
      </c>
      <c r="L34" s="122">
        <f t="shared" si="1"/>
        <v>1327415.2545742318</v>
      </c>
      <c r="M34" s="123">
        <f t="shared" si="2"/>
        <v>2.1300000000000065E-2</v>
      </c>
      <c r="N34" s="124">
        <f t="shared" si="9"/>
        <v>3.2857431342129986E-3</v>
      </c>
    </row>
    <row r="35" spans="1:14" ht="12.75" customHeight="1" x14ac:dyDescent="0.2">
      <c r="A35" s="2" t="s">
        <v>30</v>
      </c>
      <c r="B35" s="122">
        <v>1194964.823481621</v>
      </c>
      <c r="C35" s="122">
        <f t="shared" si="0"/>
        <v>1220417.5742217796</v>
      </c>
      <c r="D35" s="122">
        <f>+'Dist 2016 antes de Garantia'!B34</f>
        <v>564363.91223891277</v>
      </c>
      <c r="E35" s="122">
        <f t="shared" si="3"/>
        <v>-656053.66198286682</v>
      </c>
      <c r="F35" s="123">
        <f t="shared" si="4"/>
        <v>-0.53756490879870422</v>
      </c>
      <c r="G35" s="122">
        <f t="shared" si="5"/>
        <v>1220417.5742217796</v>
      </c>
      <c r="H35" s="122">
        <f t="shared" si="6"/>
        <v>656053.66198286682</v>
      </c>
      <c r="I35" s="122">
        <f t="shared" si="7"/>
        <v>0</v>
      </c>
      <c r="J35" s="122">
        <f t="shared" si="10"/>
        <v>0</v>
      </c>
      <c r="K35" s="122">
        <f t="shared" si="8"/>
        <v>0</v>
      </c>
      <c r="L35" s="122">
        <f t="shared" si="1"/>
        <v>1220417.5742217796</v>
      </c>
      <c r="M35" s="123">
        <f t="shared" si="2"/>
        <v>2.1300000000000065E-2</v>
      </c>
      <c r="N35" s="124">
        <f t="shared" si="9"/>
        <v>3.0208924084259487E-3</v>
      </c>
    </row>
    <row r="36" spans="1:14" ht="12.75" customHeight="1" x14ac:dyDescent="0.2">
      <c r="A36" s="2" t="s">
        <v>31</v>
      </c>
      <c r="B36" s="122">
        <v>11381113.042570755</v>
      </c>
      <c r="C36" s="122">
        <f t="shared" si="0"/>
        <v>11623530.750377512</v>
      </c>
      <c r="D36" s="122">
        <f>+'Dist 2016 antes de Garantia'!B35</f>
        <v>6107464.4904943425</v>
      </c>
      <c r="E36" s="122">
        <f t="shared" si="3"/>
        <v>-5516066.2598831691</v>
      </c>
      <c r="F36" s="123">
        <f t="shared" si="4"/>
        <v>-0.47456030171417724</v>
      </c>
      <c r="G36" s="122">
        <f t="shared" si="5"/>
        <v>11623530.750377512</v>
      </c>
      <c r="H36" s="122">
        <f t="shared" si="6"/>
        <v>5516066.2598831691</v>
      </c>
      <c r="I36" s="122">
        <f t="shared" si="7"/>
        <v>0</v>
      </c>
      <c r="J36" s="122">
        <f t="shared" si="10"/>
        <v>0</v>
      </c>
      <c r="K36" s="122">
        <f t="shared" si="8"/>
        <v>0</v>
      </c>
      <c r="L36" s="122">
        <f t="shared" si="1"/>
        <v>11623530.750377512</v>
      </c>
      <c r="M36" s="123">
        <f t="shared" si="2"/>
        <v>2.1299999999999968E-2</v>
      </c>
      <c r="N36" s="124">
        <f t="shared" si="9"/>
        <v>2.8771656967748672E-2</v>
      </c>
    </row>
    <row r="37" spans="1:14" ht="12.75" customHeight="1" x14ac:dyDescent="0.2">
      <c r="A37" s="2" t="s">
        <v>32</v>
      </c>
      <c r="B37" s="122">
        <v>2216166.9202290485</v>
      </c>
      <c r="C37" s="122">
        <f t="shared" si="0"/>
        <v>2263371.2756299274</v>
      </c>
      <c r="D37" s="122">
        <f>+'Dist 2016 antes de Garantia'!B36</f>
        <v>930466.00477204996</v>
      </c>
      <c r="E37" s="122">
        <f t="shared" si="3"/>
        <v>-1332905.2708578776</v>
      </c>
      <c r="F37" s="123">
        <f t="shared" si="4"/>
        <v>-0.58890261850076353</v>
      </c>
      <c r="G37" s="122">
        <f t="shared" si="5"/>
        <v>2263371.2756299274</v>
      </c>
      <c r="H37" s="122">
        <f t="shared" si="6"/>
        <v>1332905.2708578776</v>
      </c>
      <c r="I37" s="122">
        <f t="shared" si="7"/>
        <v>0</v>
      </c>
      <c r="J37" s="122">
        <f t="shared" si="10"/>
        <v>0</v>
      </c>
      <c r="K37" s="122">
        <f t="shared" si="8"/>
        <v>0</v>
      </c>
      <c r="L37" s="122">
        <f t="shared" si="1"/>
        <v>2263371.2756299274</v>
      </c>
      <c r="M37" s="123">
        <f t="shared" si="2"/>
        <v>2.1300000000000093E-2</v>
      </c>
      <c r="N37" s="124">
        <f t="shared" si="9"/>
        <v>5.6025095413426759E-3</v>
      </c>
    </row>
    <row r="38" spans="1:14" s="125" customFormat="1" ht="12.75" customHeight="1" x14ac:dyDescent="0.2">
      <c r="A38" s="2" t="s">
        <v>33</v>
      </c>
      <c r="B38" s="122">
        <v>8131175.7330004862</v>
      </c>
      <c r="C38" s="122">
        <f t="shared" si="0"/>
        <v>8304369.7761133965</v>
      </c>
      <c r="D38" s="122">
        <f>+'Dist 2016 antes de Garantia'!B37</f>
        <v>4500487.9069786798</v>
      </c>
      <c r="E38" s="122">
        <f t="shared" si="3"/>
        <v>-3803881.8691347167</v>
      </c>
      <c r="F38" s="123">
        <f t="shared" si="4"/>
        <v>-0.45805786250946617</v>
      </c>
      <c r="G38" s="122">
        <f t="shared" si="5"/>
        <v>8304369.7761133965</v>
      </c>
      <c r="H38" s="122">
        <f t="shared" si="6"/>
        <v>3803881.8691347167</v>
      </c>
      <c r="I38" s="122">
        <f t="shared" si="7"/>
        <v>0</v>
      </c>
      <c r="J38" s="122">
        <f t="shared" si="10"/>
        <v>0</v>
      </c>
      <c r="K38" s="122">
        <f t="shared" si="8"/>
        <v>0</v>
      </c>
      <c r="L38" s="122">
        <f t="shared" si="1"/>
        <v>8304369.7761133965</v>
      </c>
      <c r="M38" s="123">
        <f t="shared" si="2"/>
        <v>2.1299999999999999E-2</v>
      </c>
      <c r="N38" s="124">
        <f t="shared" si="9"/>
        <v>2.0555757425420363E-2</v>
      </c>
    </row>
    <row r="39" spans="1:14" ht="12.75" customHeight="1" x14ac:dyDescent="0.2">
      <c r="A39" s="2" t="s">
        <v>34</v>
      </c>
      <c r="B39" s="122">
        <v>1618631.0451186188</v>
      </c>
      <c r="C39" s="122">
        <f t="shared" si="0"/>
        <v>1653107.8863796454</v>
      </c>
      <c r="D39" s="122">
        <f>+'Dist 2016 antes de Garantia'!B38</f>
        <v>809069.56433334283</v>
      </c>
      <c r="E39" s="122">
        <f t="shared" si="3"/>
        <v>-844038.32204630261</v>
      </c>
      <c r="F39" s="123">
        <f t="shared" si="4"/>
        <v>-0.51057667137186746</v>
      </c>
      <c r="G39" s="122">
        <f t="shared" si="5"/>
        <v>1653107.8863796454</v>
      </c>
      <c r="H39" s="122">
        <f t="shared" si="6"/>
        <v>844038.32204630261</v>
      </c>
      <c r="I39" s="122">
        <f t="shared" si="7"/>
        <v>0</v>
      </c>
      <c r="J39" s="122">
        <f t="shared" si="10"/>
        <v>0</v>
      </c>
      <c r="K39" s="122">
        <f t="shared" si="8"/>
        <v>0</v>
      </c>
      <c r="L39" s="122">
        <f t="shared" si="1"/>
        <v>1653107.8863796454</v>
      </c>
      <c r="M39" s="123">
        <f t="shared" si="2"/>
        <v>2.1300000000000062E-2</v>
      </c>
      <c r="N39" s="124">
        <f t="shared" si="9"/>
        <v>4.0919281807767797E-3</v>
      </c>
    </row>
    <row r="40" spans="1:14" ht="12.75" customHeight="1" x14ac:dyDescent="0.2">
      <c r="A40" s="2" t="s">
        <v>35</v>
      </c>
      <c r="B40" s="122">
        <v>1418371.708684972</v>
      </c>
      <c r="C40" s="122">
        <f t="shared" si="0"/>
        <v>1448583.026079962</v>
      </c>
      <c r="D40" s="122">
        <f>+'Dist 2016 antes de Garantia'!B39</f>
        <v>781817.82179838372</v>
      </c>
      <c r="E40" s="122">
        <f t="shared" si="3"/>
        <v>-666765.20428157831</v>
      </c>
      <c r="F40" s="123">
        <f t="shared" si="4"/>
        <v>-0.46028787599832938</v>
      </c>
      <c r="G40" s="122">
        <f t="shared" si="5"/>
        <v>1448583.026079962</v>
      </c>
      <c r="H40" s="122">
        <f t="shared" si="6"/>
        <v>666765.20428157831</v>
      </c>
      <c r="I40" s="122">
        <f t="shared" si="7"/>
        <v>0</v>
      </c>
      <c r="J40" s="122">
        <f t="shared" si="10"/>
        <v>0</v>
      </c>
      <c r="K40" s="122">
        <f t="shared" si="8"/>
        <v>0</v>
      </c>
      <c r="L40" s="122">
        <f t="shared" si="1"/>
        <v>1448583.026079962</v>
      </c>
      <c r="M40" s="123">
        <f t="shared" si="2"/>
        <v>2.1300000000000072E-2</v>
      </c>
      <c r="N40" s="124">
        <f t="shared" si="9"/>
        <v>3.5856690028821373E-3</v>
      </c>
    </row>
    <row r="41" spans="1:14" ht="12.75" customHeight="1" x14ac:dyDescent="0.2">
      <c r="A41" s="2" t="s">
        <v>36</v>
      </c>
      <c r="B41" s="122">
        <v>1749261.1708405125</v>
      </c>
      <c r="C41" s="122">
        <f t="shared" si="0"/>
        <v>1786520.4337794154</v>
      </c>
      <c r="D41" s="122">
        <f>+'Dist 2016 antes de Garantia'!B40</f>
        <v>807146.44031559513</v>
      </c>
      <c r="E41" s="122">
        <f t="shared" si="3"/>
        <v>-979373.99346382031</v>
      </c>
      <c r="F41" s="123">
        <f t="shared" si="4"/>
        <v>-0.54820195445060615</v>
      </c>
      <c r="G41" s="122">
        <f t="shared" si="5"/>
        <v>1786520.4337794154</v>
      </c>
      <c r="H41" s="122">
        <f t="shared" si="6"/>
        <v>979373.99346382031</v>
      </c>
      <c r="I41" s="122">
        <f t="shared" si="7"/>
        <v>0</v>
      </c>
      <c r="J41" s="122">
        <f t="shared" si="10"/>
        <v>0</v>
      </c>
      <c r="K41" s="122">
        <f t="shared" si="8"/>
        <v>0</v>
      </c>
      <c r="L41" s="122">
        <f t="shared" si="1"/>
        <v>1786520.4337794154</v>
      </c>
      <c r="M41" s="123">
        <f t="shared" si="2"/>
        <v>2.1300000000000017E-2</v>
      </c>
      <c r="N41" s="124">
        <f t="shared" si="9"/>
        <v>4.4221634708460234E-3</v>
      </c>
    </row>
    <row r="42" spans="1:14" ht="12.75" customHeight="1" x14ac:dyDescent="0.2">
      <c r="A42" s="2" t="s">
        <v>37</v>
      </c>
      <c r="B42" s="122">
        <v>2464799.7779064607</v>
      </c>
      <c r="C42" s="122">
        <f t="shared" si="0"/>
        <v>2517300.0131758684</v>
      </c>
      <c r="D42" s="122">
        <f>+'Dist 2016 antes de Garantia'!B41</f>
        <v>1016293.893824385</v>
      </c>
      <c r="E42" s="122">
        <f t="shared" si="3"/>
        <v>-1501006.1193514834</v>
      </c>
      <c r="F42" s="123">
        <f t="shared" si="4"/>
        <v>-0.59627621320264823</v>
      </c>
      <c r="G42" s="122">
        <f t="shared" si="5"/>
        <v>2517300.0131758684</v>
      </c>
      <c r="H42" s="122">
        <f t="shared" si="6"/>
        <v>1501006.1193514834</v>
      </c>
      <c r="I42" s="122">
        <f t="shared" si="7"/>
        <v>0</v>
      </c>
      <c r="J42" s="122">
        <f t="shared" si="10"/>
        <v>0</v>
      </c>
      <c r="K42" s="122">
        <f t="shared" si="8"/>
        <v>0</v>
      </c>
      <c r="L42" s="122">
        <f t="shared" si="1"/>
        <v>2517300.0131758684</v>
      </c>
      <c r="M42" s="123">
        <f t="shared" si="2"/>
        <v>2.1300000000000052E-2</v>
      </c>
      <c r="N42" s="124">
        <f t="shared" si="9"/>
        <v>6.2310578445927889E-3</v>
      </c>
    </row>
    <row r="43" spans="1:14" s="125" customFormat="1" ht="12.75" customHeight="1" x14ac:dyDescent="0.2">
      <c r="A43" s="2" t="s">
        <v>38</v>
      </c>
      <c r="B43" s="122">
        <v>5785578.6534730699</v>
      </c>
      <c r="C43" s="122">
        <f t="shared" si="0"/>
        <v>5908811.4787920462</v>
      </c>
      <c r="D43" s="122">
        <f>+'Dist 2016 antes de Garantia'!B42</f>
        <v>3214531.0275182016</v>
      </c>
      <c r="E43" s="122">
        <f t="shared" si="3"/>
        <v>-2694280.4512738446</v>
      </c>
      <c r="F43" s="123">
        <f t="shared" si="4"/>
        <v>-0.45597671561263675</v>
      </c>
      <c r="G43" s="122">
        <f t="shared" si="5"/>
        <v>5908811.4787920462</v>
      </c>
      <c r="H43" s="122">
        <f t="shared" si="6"/>
        <v>2694280.4512738446</v>
      </c>
      <c r="I43" s="122">
        <f t="shared" si="7"/>
        <v>0</v>
      </c>
      <c r="J43" s="122">
        <f t="shared" si="10"/>
        <v>0</v>
      </c>
      <c r="K43" s="122">
        <f t="shared" si="8"/>
        <v>0</v>
      </c>
      <c r="L43" s="122">
        <f t="shared" si="1"/>
        <v>5908811.4787920462</v>
      </c>
      <c r="M43" s="123">
        <f t="shared" si="2"/>
        <v>2.1299999999999986E-2</v>
      </c>
      <c r="N43" s="124">
        <f t="shared" si="9"/>
        <v>1.4626046130551081E-2</v>
      </c>
    </row>
    <row r="44" spans="1:14" ht="12.75" customHeight="1" x14ac:dyDescent="0.2">
      <c r="A44" s="2" t="s">
        <v>39</v>
      </c>
      <c r="B44" s="122">
        <v>85828162.9780747</v>
      </c>
      <c r="C44" s="122">
        <f t="shared" si="0"/>
        <v>87656302.849507689</v>
      </c>
      <c r="D44" s="122">
        <f>+'Dist 2016 antes de Garantia'!B43</f>
        <v>142778171.41775149</v>
      </c>
      <c r="E44" s="122">
        <f t="shared" si="3"/>
        <v>55121868.568243802</v>
      </c>
      <c r="F44" s="123">
        <f t="shared" si="4"/>
        <v>0.62884090220961664</v>
      </c>
      <c r="G44" s="122">
        <f t="shared" si="5"/>
        <v>0</v>
      </c>
      <c r="H44" s="122">
        <f t="shared" si="6"/>
        <v>0</v>
      </c>
      <c r="I44" s="122">
        <f t="shared" si="7"/>
        <v>142778171.41775149</v>
      </c>
      <c r="J44" s="122">
        <f t="shared" si="10"/>
        <v>55121868.568243802</v>
      </c>
      <c r="K44" s="122">
        <f t="shared" si="8"/>
        <v>44243143.537598111</v>
      </c>
      <c r="L44" s="122">
        <f t="shared" si="1"/>
        <v>98535027.880153388</v>
      </c>
      <c r="M44" s="123">
        <f t="shared" si="2"/>
        <v>0.148050062603865</v>
      </c>
      <c r="N44" s="124">
        <f t="shared" si="9"/>
        <v>0.24390317213926144</v>
      </c>
    </row>
    <row r="45" spans="1:14" ht="12.75" customHeight="1" x14ac:dyDescent="0.2">
      <c r="A45" s="2" t="s">
        <v>40</v>
      </c>
      <c r="B45" s="122">
        <v>616432.65844181378</v>
      </c>
      <c r="C45" s="122">
        <f t="shared" si="0"/>
        <v>629562.67406662437</v>
      </c>
      <c r="D45" s="122">
        <f>+'Dist 2016 antes de Garantia'!B44</f>
        <v>219886.2040357074</v>
      </c>
      <c r="E45" s="122">
        <f t="shared" si="3"/>
        <v>-409676.47003091697</v>
      </c>
      <c r="F45" s="123">
        <f t="shared" si="4"/>
        <v>-0.65073182846853839</v>
      </c>
      <c r="G45" s="122">
        <f t="shared" si="5"/>
        <v>629562.67406662437</v>
      </c>
      <c r="H45" s="122">
        <f t="shared" si="6"/>
        <v>409676.47003091697</v>
      </c>
      <c r="I45" s="122">
        <f t="shared" si="7"/>
        <v>0</v>
      </c>
      <c r="J45" s="122">
        <f t="shared" si="10"/>
        <v>0</v>
      </c>
      <c r="K45" s="122">
        <f t="shared" si="8"/>
        <v>0</v>
      </c>
      <c r="L45" s="122">
        <f t="shared" si="1"/>
        <v>629562.67406662437</v>
      </c>
      <c r="M45" s="123">
        <f t="shared" si="2"/>
        <v>2.1299999999999934E-2</v>
      </c>
      <c r="N45" s="124">
        <f t="shared" si="9"/>
        <v>1.5583527662070479E-3</v>
      </c>
    </row>
    <row r="46" spans="1:14" s="125" customFormat="1" ht="12.75" customHeight="1" x14ac:dyDescent="0.2">
      <c r="A46" s="2" t="s">
        <v>41</v>
      </c>
      <c r="B46" s="122">
        <v>1633751.4738639963</v>
      </c>
      <c r="C46" s="122">
        <f t="shared" si="0"/>
        <v>1668550.3802572994</v>
      </c>
      <c r="D46" s="122">
        <f>+'Dist 2016 antes de Garantia'!B45</f>
        <v>1365782.8845541361</v>
      </c>
      <c r="E46" s="122">
        <f t="shared" si="3"/>
        <v>-302767.49570316332</v>
      </c>
      <c r="F46" s="123">
        <f t="shared" si="4"/>
        <v>-0.18145541140716109</v>
      </c>
      <c r="G46" s="122">
        <f t="shared" si="5"/>
        <v>1668550.3802572994</v>
      </c>
      <c r="H46" s="122">
        <f t="shared" si="6"/>
        <v>302767.49570316332</v>
      </c>
      <c r="I46" s="122">
        <f t="shared" si="7"/>
        <v>0</v>
      </c>
      <c r="J46" s="122">
        <f t="shared" si="10"/>
        <v>0</v>
      </c>
      <c r="K46" s="122">
        <f t="shared" si="8"/>
        <v>0</v>
      </c>
      <c r="L46" s="122">
        <f t="shared" si="1"/>
        <v>1668550.3802572994</v>
      </c>
      <c r="M46" s="123">
        <f t="shared" si="2"/>
        <v>2.1299999999999968E-2</v>
      </c>
      <c r="N46" s="124">
        <f t="shared" si="9"/>
        <v>4.1301528946022228E-3</v>
      </c>
    </row>
    <row r="47" spans="1:14" ht="12.75" customHeight="1" x14ac:dyDescent="0.2">
      <c r="A47" s="2" t="s">
        <v>42</v>
      </c>
      <c r="B47" s="122">
        <v>1309875.6839116628</v>
      </c>
      <c r="C47" s="122">
        <f t="shared" si="0"/>
        <v>1337776.0359789813</v>
      </c>
      <c r="D47" s="122">
        <f>+'Dist 2016 antes de Garantia'!B46</f>
        <v>414925.7053036163</v>
      </c>
      <c r="E47" s="122">
        <f t="shared" si="3"/>
        <v>-922850.33067536494</v>
      </c>
      <c r="F47" s="123">
        <f t="shared" si="4"/>
        <v>-0.6898391852265654</v>
      </c>
      <c r="G47" s="122">
        <f t="shared" si="5"/>
        <v>1337776.0359789813</v>
      </c>
      <c r="H47" s="122">
        <f t="shared" si="6"/>
        <v>922850.33067536494</v>
      </c>
      <c r="I47" s="122">
        <f t="shared" si="7"/>
        <v>0</v>
      </c>
      <c r="J47" s="122">
        <f t="shared" si="10"/>
        <v>0</v>
      </c>
      <c r="K47" s="122">
        <f t="shared" si="8"/>
        <v>0</v>
      </c>
      <c r="L47" s="122">
        <f t="shared" si="1"/>
        <v>1337776.0359789813</v>
      </c>
      <c r="M47" s="123">
        <f t="shared" si="2"/>
        <v>2.1300000000000072E-2</v>
      </c>
      <c r="N47" s="124">
        <f t="shared" si="9"/>
        <v>3.3113891151887532E-3</v>
      </c>
    </row>
    <row r="48" spans="1:14" ht="12.75" customHeight="1" x14ac:dyDescent="0.2">
      <c r="A48" s="2" t="s">
        <v>43</v>
      </c>
      <c r="B48" s="122">
        <v>1417030.4816653924</v>
      </c>
      <c r="C48" s="122">
        <f t="shared" si="0"/>
        <v>1447213.2309248652</v>
      </c>
      <c r="D48" s="122">
        <f>+'Dist 2016 antes de Garantia'!B47</f>
        <v>659157.14895051741</v>
      </c>
      <c r="E48" s="122">
        <f t="shared" si="3"/>
        <v>-788056.08197434782</v>
      </c>
      <c r="F48" s="123">
        <f t="shared" si="4"/>
        <v>-0.54453349729999889</v>
      </c>
      <c r="G48" s="122">
        <f t="shared" si="5"/>
        <v>1447213.2309248652</v>
      </c>
      <c r="H48" s="122">
        <f t="shared" si="6"/>
        <v>788056.08197434782</v>
      </c>
      <c r="I48" s="122">
        <f t="shared" si="7"/>
        <v>0</v>
      </c>
      <c r="J48" s="122">
        <f t="shared" si="10"/>
        <v>0</v>
      </c>
      <c r="K48" s="122">
        <f t="shared" si="8"/>
        <v>0</v>
      </c>
      <c r="L48" s="122">
        <f t="shared" si="1"/>
        <v>1447213.2309248652</v>
      </c>
      <c r="M48" s="123">
        <f t="shared" si="2"/>
        <v>2.1299999999999975E-2</v>
      </c>
      <c r="N48" s="124">
        <f t="shared" si="9"/>
        <v>3.5822783570306394E-3</v>
      </c>
    </row>
    <row r="49" spans="1:14" ht="12.75" customHeight="1" x14ac:dyDescent="0.2">
      <c r="A49" s="2" t="s">
        <v>44</v>
      </c>
      <c r="B49" s="122">
        <v>4227970.9729333567</v>
      </c>
      <c r="C49" s="122">
        <f t="shared" si="0"/>
        <v>4318026.7546568373</v>
      </c>
      <c r="D49" s="122">
        <f>+'Dist 2016 antes de Garantia'!B48</f>
        <v>1459573.0757182068</v>
      </c>
      <c r="E49" s="122">
        <f t="shared" si="3"/>
        <v>-2858453.6789386305</v>
      </c>
      <c r="F49" s="123">
        <f t="shared" si="4"/>
        <v>-0.66198146545893688</v>
      </c>
      <c r="G49" s="122">
        <f t="shared" si="5"/>
        <v>4318026.7546568373</v>
      </c>
      <c r="H49" s="122">
        <f t="shared" si="6"/>
        <v>2858453.6789386305</v>
      </c>
      <c r="I49" s="122">
        <f t="shared" si="7"/>
        <v>0</v>
      </c>
      <c r="J49" s="122">
        <f t="shared" si="10"/>
        <v>0</v>
      </c>
      <c r="K49" s="122">
        <f t="shared" si="8"/>
        <v>0</v>
      </c>
      <c r="L49" s="122">
        <f t="shared" si="1"/>
        <v>4318026.7546568373</v>
      </c>
      <c r="M49" s="123">
        <f t="shared" si="2"/>
        <v>2.1300000000000041E-2</v>
      </c>
      <c r="N49" s="124">
        <f t="shared" si="9"/>
        <v>1.0688386104928796E-2</v>
      </c>
    </row>
    <row r="50" spans="1:14" ht="12.75" customHeight="1" x14ac:dyDescent="0.2">
      <c r="A50" s="2" t="s">
        <v>45</v>
      </c>
      <c r="B50" s="122">
        <v>3638087.0530053107</v>
      </c>
      <c r="C50" s="122">
        <f t="shared" si="0"/>
        <v>3715578.3072343236</v>
      </c>
      <c r="D50" s="122">
        <f>+'Dist 2016 antes de Garantia'!B49</f>
        <v>2105294.0114385211</v>
      </c>
      <c r="E50" s="122">
        <f t="shared" si="3"/>
        <v>-1610284.2957958025</v>
      </c>
      <c r="F50" s="123">
        <f t="shared" si="4"/>
        <v>-0.43338725836043851</v>
      </c>
      <c r="G50" s="122">
        <f t="shared" si="5"/>
        <v>3715578.3072343236</v>
      </c>
      <c r="H50" s="122">
        <f t="shared" si="6"/>
        <v>1610284.2957958025</v>
      </c>
      <c r="I50" s="122">
        <f t="shared" si="7"/>
        <v>0</v>
      </c>
      <c r="J50" s="122">
        <f t="shared" si="10"/>
        <v>0</v>
      </c>
      <c r="K50" s="122">
        <f t="shared" si="8"/>
        <v>0</v>
      </c>
      <c r="L50" s="122">
        <f t="shared" si="1"/>
        <v>3715578.3072343236</v>
      </c>
      <c r="M50" s="123">
        <f t="shared" si="2"/>
        <v>2.1299999999999934E-2</v>
      </c>
      <c r="N50" s="124">
        <f t="shared" si="9"/>
        <v>9.1971490236804516E-3</v>
      </c>
    </row>
    <row r="51" spans="1:14" ht="12.75" customHeight="1" x14ac:dyDescent="0.2">
      <c r="A51" s="2" t="s">
        <v>46</v>
      </c>
      <c r="B51" s="122">
        <v>30282919.420775328</v>
      </c>
      <c r="C51" s="122">
        <f t="shared" si="0"/>
        <v>30927945.604437843</v>
      </c>
      <c r="D51" s="122">
        <f>+'Dist 2016 antes de Garantia'!B50</f>
        <v>33654191.896766536</v>
      </c>
      <c r="E51" s="122">
        <f t="shared" si="3"/>
        <v>2726246.292328693</v>
      </c>
      <c r="F51" s="123">
        <f t="shared" si="4"/>
        <v>8.814831502864208E-2</v>
      </c>
      <c r="G51" s="122">
        <f t="shared" si="5"/>
        <v>0</v>
      </c>
      <c r="H51" s="122">
        <f t="shared" si="6"/>
        <v>0</v>
      </c>
      <c r="I51" s="122">
        <f t="shared" si="7"/>
        <v>33654191.896766536</v>
      </c>
      <c r="J51" s="122">
        <f t="shared" si="10"/>
        <v>2726246.292328693</v>
      </c>
      <c r="K51" s="122">
        <f t="shared" si="8"/>
        <v>2188200.6028335541</v>
      </c>
      <c r="L51" s="122">
        <f t="shared" si="1"/>
        <v>31465991.293932982</v>
      </c>
      <c r="M51" s="123">
        <f t="shared" si="2"/>
        <v>3.9067299183381178E-2</v>
      </c>
      <c r="N51" s="124">
        <f t="shared" si="9"/>
        <v>7.7887582276134334E-2</v>
      </c>
    </row>
    <row r="52" spans="1:14" ht="12.75" customHeight="1" x14ac:dyDescent="0.2">
      <c r="A52" s="2" t="s">
        <v>47</v>
      </c>
      <c r="B52" s="122">
        <v>31917627.585383285</v>
      </c>
      <c r="C52" s="122">
        <f t="shared" si="0"/>
        <v>32597473.052951951</v>
      </c>
      <c r="D52" s="122">
        <f>+'Dist 2016 antes de Garantia'!B51</f>
        <v>59566550.758493721</v>
      </c>
      <c r="E52" s="122">
        <f t="shared" si="3"/>
        <v>26969077.705541771</v>
      </c>
      <c r="F52" s="123">
        <f t="shared" si="4"/>
        <v>0.82733645217629881</v>
      </c>
      <c r="G52" s="122">
        <f t="shared" si="5"/>
        <v>0</v>
      </c>
      <c r="H52" s="122">
        <f t="shared" si="6"/>
        <v>0</v>
      </c>
      <c r="I52" s="122">
        <f t="shared" si="7"/>
        <v>59566550.758493721</v>
      </c>
      <c r="J52" s="122">
        <f t="shared" si="10"/>
        <v>26969077.705541771</v>
      </c>
      <c r="K52" s="122">
        <f t="shared" si="8"/>
        <v>21646522.641475417</v>
      </c>
      <c r="L52" s="122">
        <f t="shared" si="1"/>
        <v>37920028.117018305</v>
      </c>
      <c r="M52" s="123">
        <f t="shared" si="2"/>
        <v>0.18805910669826306</v>
      </c>
      <c r="N52" s="124">
        <f t="shared" si="9"/>
        <v>9.3863221478964198E-2</v>
      </c>
    </row>
    <row r="53" spans="1:14" s="125" customFormat="1" ht="12.75" customHeight="1" x14ac:dyDescent="0.2">
      <c r="A53" s="2" t="s">
        <v>48</v>
      </c>
      <c r="B53" s="122">
        <v>16495620.081552913</v>
      </c>
      <c r="C53" s="122">
        <f t="shared" si="0"/>
        <v>16846976.789289989</v>
      </c>
      <c r="D53" s="122">
        <f>+'Dist 2016 antes de Garantia'!B52</f>
        <v>18196548.374360524</v>
      </c>
      <c r="E53" s="122">
        <f t="shared" si="3"/>
        <v>1349571.5850705355</v>
      </c>
      <c r="F53" s="123">
        <f t="shared" si="4"/>
        <v>8.0107641979330638E-2</v>
      </c>
      <c r="G53" s="122">
        <f t="shared" si="5"/>
        <v>0</v>
      </c>
      <c r="H53" s="122">
        <f t="shared" si="6"/>
        <v>0</v>
      </c>
      <c r="I53" s="122">
        <f t="shared" si="7"/>
        <v>18196548.374360524</v>
      </c>
      <c r="J53" s="122">
        <f t="shared" si="10"/>
        <v>1349571.5850705355</v>
      </c>
      <c r="K53" s="122">
        <f t="shared" si="8"/>
        <v>1083223.2452101335</v>
      </c>
      <c r="L53" s="122">
        <f t="shared" si="1"/>
        <v>17113325.129150391</v>
      </c>
      <c r="M53" s="123">
        <f t="shared" si="2"/>
        <v>3.7446609739045705E-2</v>
      </c>
      <c r="N53" s="124">
        <f t="shared" si="9"/>
        <v>4.2360512547142931E-2</v>
      </c>
    </row>
    <row r="54" spans="1:14" s="125" customFormat="1" ht="12.75" customHeight="1" x14ac:dyDescent="0.2">
      <c r="A54" s="2" t="s">
        <v>49</v>
      </c>
      <c r="B54" s="122">
        <v>3825909.7210055171</v>
      </c>
      <c r="C54" s="122">
        <f t="shared" si="0"/>
        <v>3907401.5980629344</v>
      </c>
      <c r="D54" s="122">
        <f>+'Dist 2016 antes de Garantia'!B53</f>
        <v>2611164.9792485675</v>
      </c>
      <c r="E54" s="122">
        <f t="shared" si="3"/>
        <v>-1296236.6188143669</v>
      </c>
      <c r="F54" s="123">
        <f t="shared" si="4"/>
        <v>-0.33173877480547859</v>
      </c>
      <c r="G54" s="122">
        <f t="shared" si="5"/>
        <v>3907401.5980629344</v>
      </c>
      <c r="H54" s="122">
        <f t="shared" si="6"/>
        <v>1296236.6188143669</v>
      </c>
      <c r="I54" s="122">
        <f t="shared" si="7"/>
        <v>0</v>
      </c>
      <c r="J54" s="122">
        <f t="shared" si="10"/>
        <v>0</v>
      </c>
      <c r="K54" s="122">
        <f t="shared" si="8"/>
        <v>0</v>
      </c>
      <c r="L54" s="122">
        <f t="shared" si="1"/>
        <v>3907401.5980629344</v>
      </c>
      <c r="M54" s="123">
        <f t="shared" si="2"/>
        <v>2.1299999999999944E-2</v>
      </c>
      <c r="N54" s="124">
        <f t="shared" si="9"/>
        <v>9.67196808173355E-3</v>
      </c>
    </row>
    <row r="55" spans="1:14" ht="12.75" customHeight="1" x14ac:dyDescent="0.2">
      <c r="A55" s="2" t="s">
        <v>50</v>
      </c>
      <c r="B55" s="122">
        <v>1096222.2281963234</v>
      </c>
      <c r="C55" s="122">
        <f t="shared" si="0"/>
        <v>1119571.7616569051</v>
      </c>
      <c r="D55" s="122">
        <f>+'Dist 2016 antes de Garantia'!B54</f>
        <v>393757.65250403457</v>
      </c>
      <c r="E55" s="122">
        <f t="shared" si="3"/>
        <v>-725814.10915287049</v>
      </c>
      <c r="F55" s="123">
        <f t="shared" si="4"/>
        <v>-0.6482961914640516</v>
      </c>
      <c r="G55" s="122">
        <f t="shared" si="5"/>
        <v>1119571.7616569051</v>
      </c>
      <c r="H55" s="122">
        <f t="shared" si="6"/>
        <v>725814.10915287049</v>
      </c>
      <c r="I55" s="122">
        <f t="shared" si="7"/>
        <v>0</v>
      </c>
      <c r="J55" s="122">
        <f t="shared" si="10"/>
        <v>0</v>
      </c>
      <c r="K55" s="122">
        <f t="shared" si="8"/>
        <v>0</v>
      </c>
      <c r="L55" s="122">
        <f t="shared" si="1"/>
        <v>1119571.7616569051</v>
      </c>
      <c r="M55" s="123">
        <f t="shared" si="2"/>
        <v>2.1299999999999989E-2</v>
      </c>
      <c r="N55" s="124">
        <f t="shared" si="9"/>
        <v>2.7712693646140488E-3</v>
      </c>
    </row>
    <row r="56" spans="1:14" ht="12.75" customHeight="1" x14ac:dyDescent="0.2">
      <c r="A56" s="2" t="s">
        <v>51</v>
      </c>
      <c r="B56" s="122">
        <v>1511099.9226073823</v>
      </c>
      <c r="C56" s="122">
        <f t="shared" si="0"/>
        <v>1543286.3509589196</v>
      </c>
      <c r="D56" s="122">
        <f>+'Dist 2016 antes de Garantia'!B55</f>
        <v>285511.50261573284</v>
      </c>
      <c r="E56" s="122">
        <f t="shared" si="3"/>
        <v>-1257774.8483431868</v>
      </c>
      <c r="F56" s="123">
        <f t="shared" si="4"/>
        <v>-0.81499771417123557</v>
      </c>
      <c r="G56" s="122">
        <f t="shared" si="5"/>
        <v>1543286.3509589196</v>
      </c>
      <c r="H56" s="122">
        <f t="shared" si="6"/>
        <v>1257774.8483431868</v>
      </c>
      <c r="I56" s="122">
        <f t="shared" si="7"/>
        <v>0</v>
      </c>
      <c r="J56" s="122">
        <f t="shared" si="10"/>
        <v>0</v>
      </c>
      <c r="K56" s="122">
        <f t="shared" si="8"/>
        <v>0</v>
      </c>
      <c r="L56" s="122">
        <f t="shared" si="1"/>
        <v>1543286.3509589196</v>
      </c>
      <c r="M56" s="123">
        <f t="shared" si="2"/>
        <v>2.1300000000000055E-2</v>
      </c>
      <c r="N56" s="124">
        <f t="shared" si="9"/>
        <v>3.8200875832290885E-3</v>
      </c>
    </row>
    <row r="57" spans="1:14" s="129" customFormat="1" ht="16.5" customHeight="1" thickBot="1" x14ac:dyDescent="0.25">
      <c r="A57" s="3" t="s">
        <v>52</v>
      </c>
      <c r="B57" s="126">
        <v>377306628.40061605</v>
      </c>
      <c r="C57" s="126">
        <f>SUM(C6:C56)</f>
        <v>385343259.58554906</v>
      </c>
      <c r="D57" s="126">
        <f>SUM(D6:D56)</f>
        <v>403992400.00000018</v>
      </c>
      <c r="E57" s="126">
        <f>SUM(E6:E56)</f>
        <v>18649140.414451066</v>
      </c>
      <c r="F57" s="127">
        <f t="shared" si="4"/>
        <v>4.8396176527153903E-2</v>
      </c>
      <c r="G57" s="126">
        <f t="shared" ref="G57:L57" si="11">SUM(G6:G56)</f>
        <v>179126701.2301251</v>
      </c>
      <c r="H57" s="126">
        <f t="shared" si="11"/>
        <v>75844972.079454109</v>
      </c>
      <c r="I57" s="126">
        <f t="shared" si="11"/>
        <v>300710670.84932917</v>
      </c>
      <c r="J57" s="126">
        <f t="shared" si="11"/>
        <v>94494112.493905187</v>
      </c>
      <c r="K57" s="126">
        <f t="shared" si="11"/>
        <v>75844972.079454124</v>
      </c>
      <c r="L57" s="126">
        <f t="shared" si="11"/>
        <v>403992400.00000012</v>
      </c>
      <c r="M57" s="127">
        <f t="shared" si="2"/>
        <v>7.0727015087181808E-2</v>
      </c>
      <c r="N57" s="128">
        <f>SUM(N6:N56)</f>
        <v>1</v>
      </c>
    </row>
    <row r="58" spans="1:14" ht="13.5" thickTop="1" x14ac:dyDescent="0.2">
      <c r="D58" s="130"/>
      <c r="F58" s="131"/>
      <c r="G58" s="131"/>
      <c r="H58" s="131"/>
      <c r="I58" s="132"/>
      <c r="J58" s="131"/>
      <c r="K58" s="131"/>
      <c r="L58" s="133"/>
      <c r="M58" s="131"/>
      <c r="N58" s="134"/>
    </row>
    <row r="59" spans="1:14" x14ac:dyDescent="0.2">
      <c r="A59" s="135" t="s">
        <v>159</v>
      </c>
      <c r="D59" s="136"/>
      <c r="F59" s="137"/>
    </row>
    <row r="60" spans="1:14" x14ac:dyDescent="0.2">
      <c r="A60" s="135" t="s">
        <v>160</v>
      </c>
      <c r="D60" s="138"/>
      <c r="E60" s="139"/>
    </row>
    <row r="64" spans="1:14" x14ac:dyDescent="0.2">
      <c r="K64" s="140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6:M56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III
Pag 11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64"/>
  <sheetViews>
    <sheetView showGridLines="0" view="pageBreakPreview" zoomScaleNormal="100" zoomScaleSheetLayoutView="100" workbookViewId="0">
      <selection activeCell="C27" sqref="C27"/>
    </sheetView>
  </sheetViews>
  <sheetFormatPr baseColWidth="10" defaultRowHeight="12.75" x14ac:dyDescent="0.2"/>
  <cols>
    <col min="1" max="1" width="35.5703125" style="96" customWidth="1"/>
    <col min="2" max="2" width="31" style="96" customWidth="1"/>
    <col min="3" max="16384" width="11.42578125" style="96"/>
  </cols>
  <sheetData>
    <row r="1" spans="1:2" x14ac:dyDescent="0.2">
      <c r="A1" s="242" t="s">
        <v>121</v>
      </c>
      <c r="B1" s="242"/>
    </row>
    <row r="2" spans="1:2" x14ac:dyDescent="0.2">
      <c r="A2" s="242" t="s">
        <v>122</v>
      </c>
      <c r="B2" s="242"/>
    </row>
    <row r="3" spans="1:2" x14ac:dyDescent="0.2">
      <c r="A3" s="242" t="s">
        <v>143</v>
      </c>
      <c r="B3" s="242"/>
    </row>
    <row r="4" spans="1:2" x14ac:dyDescent="0.2">
      <c r="A4" s="242" t="s">
        <v>123</v>
      </c>
      <c r="B4" s="242"/>
    </row>
    <row r="5" spans="1:2" ht="13.5" customHeight="1" thickBot="1" x14ac:dyDescent="0.25">
      <c r="A5" s="97"/>
    </row>
    <row r="6" spans="1:2" ht="14.25" thickTop="1" thickBot="1" x14ac:dyDescent="0.25">
      <c r="A6" s="98" t="s">
        <v>0</v>
      </c>
      <c r="B6" s="99" t="s">
        <v>140</v>
      </c>
    </row>
    <row r="7" spans="1:2" ht="13.5" thickTop="1" x14ac:dyDescent="0.2">
      <c r="A7" s="100" t="s">
        <v>1</v>
      </c>
      <c r="B7" s="101">
        <f>+'ESTIMACIÓN 2016'!D$4*'CALCULO GARANTIA'!N6</f>
        <v>579860.51592014579</v>
      </c>
    </row>
    <row r="8" spans="1:2" x14ac:dyDescent="0.2">
      <c r="A8" s="100" t="s">
        <v>2</v>
      </c>
      <c r="B8" s="101">
        <f>+'ESTIMACIÓN 2016'!D$4*'CALCULO GARANTIA'!N7</f>
        <v>1150755.7921468026</v>
      </c>
    </row>
    <row r="9" spans="1:2" x14ac:dyDescent="0.2">
      <c r="A9" s="100" t="s">
        <v>3</v>
      </c>
      <c r="B9" s="101">
        <f>+'ESTIMACIÓN 2016'!D$4*'CALCULO GARANTIA'!N8</f>
        <v>1125999.7701803923</v>
      </c>
    </row>
    <row r="10" spans="1:2" x14ac:dyDescent="0.2">
      <c r="A10" s="100" t="s">
        <v>4</v>
      </c>
      <c r="B10" s="101">
        <f>+'ESTIMACIÓN 2016'!D$4*'CALCULO GARANTIA'!N9</f>
        <v>3048621.2991620861</v>
      </c>
    </row>
    <row r="11" spans="1:2" x14ac:dyDescent="0.2">
      <c r="A11" s="100" t="s">
        <v>5</v>
      </c>
      <c r="B11" s="101">
        <f>+'ESTIMACIÓN 2016'!D$4*'CALCULO GARANTIA'!N10</f>
        <v>4187786.494455141</v>
      </c>
    </row>
    <row r="12" spans="1:2" x14ac:dyDescent="0.2">
      <c r="A12" s="100" t="s">
        <v>6</v>
      </c>
      <c r="B12" s="101">
        <f>+'ESTIMACIÓN 2016'!D$4*'CALCULO GARANTIA'!N11</f>
        <v>27714340.142081086</v>
      </c>
    </row>
    <row r="13" spans="1:2" x14ac:dyDescent="0.2">
      <c r="A13" s="100" t="s">
        <v>7</v>
      </c>
      <c r="B13" s="101">
        <f>+'ESTIMACIÓN 2016'!D$4*'CALCULO GARANTIA'!N12</f>
        <v>4668299.4003300676</v>
      </c>
    </row>
    <row r="14" spans="1:2" x14ac:dyDescent="0.2">
      <c r="A14" s="100" t="s">
        <v>8</v>
      </c>
      <c r="B14" s="101">
        <f>+'ESTIMACIÓN 2016'!D$4*'CALCULO GARANTIA'!N13</f>
        <v>758286.48695620522</v>
      </c>
    </row>
    <row r="15" spans="1:2" x14ac:dyDescent="0.2">
      <c r="A15" s="100" t="s">
        <v>9</v>
      </c>
      <c r="B15" s="101">
        <f>+'ESTIMACIÓN 2016'!D$4*'CALCULO GARANTIA'!N14</f>
        <v>7557396.6904707877</v>
      </c>
    </row>
    <row r="16" spans="1:2" x14ac:dyDescent="0.2">
      <c r="A16" s="100" t="s">
        <v>10</v>
      </c>
      <c r="B16" s="101">
        <f>+'ESTIMACIÓN 2016'!D$4*'CALCULO GARANTIA'!N15</f>
        <v>1084023.4464603036</v>
      </c>
    </row>
    <row r="17" spans="1:2" x14ac:dyDescent="0.2">
      <c r="A17" s="100" t="s">
        <v>11</v>
      </c>
      <c r="B17" s="101">
        <f>+'ESTIMACIÓN 2016'!D$4*'CALCULO GARANTIA'!N16</f>
        <v>1519675.3158155873</v>
      </c>
    </row>
    <row r="18" spans="1:2" x14ac:dyDescent="0.2">
      <c r="A18" s="100" t="s">
        <v>12</v>
      </c>
      <c r="B18" s="101">
        <f>+'ESTIMACIÓN 2016'!D$4*'CALCULO GARANTIA'!N17</f>
        <v>3835626.0265073255</v>
      </c>
    </row>
    <row r="19" spans="1:2" x14ac:dyDescent="0.2">
      <c r="A19" s="100" t="s">
        <v>13</v>
      </c>
      <c r="B19" s="101">
        <f>+'ESTIMACIÓN 2016'!D$4*'CALCULO GARANTIA'!N18</f>
        <v>2403728.1558701564</v>
      </c>
    </row>
    <row r="20" spans="1:2" x14ac:dyDescent="0.2">
      <c r="A20" s="100" t="s">
        <v>14</v>
      </c>
      <c r="B20" s="101">
        <f>+'ESTIMACIÓN 2016'!D$4*'CALCULO GARANTIA'!N19</f>
        <v>10187755.044365613</v>
      </c>
    </row>
    <row r="21" spans="1:2" x14ac:dyDescent="0.2">
      <c r="A21" s="100" t="s">
        <v>15</v>
      </c>
      <c r="B21" s="101">
        <f>+'ESTIMACIÓN 2016'!D$4*'CALCULO GARANTIA'!N20</f>
        <v>1273726.9008002449</v>
      </c>
    </row>
    <row r="22" spans="1:2" x14ac:dyDescent="0.2">
      <c r="A22" s="100" t="s">
        <v>16</v>
      </c>
      <c r="B22" s="101">
        <f>+'ESTIMACIÓN 2016'!D$4*'CALCULO GARANTIA'!N21</f>
        <v>948633.18908941618</v>
      </c>
    </row>
    <row r="23" spans="1:2" x14ac:dyDescent="0.2">
      <c r="A23" s="100" t="s">
        <v>17</v>
      </c>
      <c r="B23" s="101">
        <f>+'ESTIMACIÓN 2016'!D$4*'CALCULO GARANTIA'!N22</f>
        <v>8336921.2283625202</v>
      </c>
    </row>
    <row r="24" spans="1:2" x14ac:dyDescent="0.2">
      <c r="A24" s="100" t="s">
        <v>18</v>
      </c>
      <c r="B24" s="101">
        <f>+'ESTIMACIÓN 2016'!D$4*'CALCULO GARANTIA'!N23</f>
        <v>8629234.6052084509</v>
      </c>
    </row>
    <row r="25" spans="1:2" x14ac:dyDescent="0.2">
      <c r="A25" s="100" t="s">
        <v>19</v>
      </c>
      <c r="B25" s="101">
        <f>+'ESTIMACIÓN 2016'!D$4*'CALCULO GARANTIA'!N24</f>
        <v>1600562.4021104861</v>
      </c>
    </row>
    <row r="26" spans="1:2" x14ac:dyDescent="0.2">
      <c r="A26" s="100" t="s">
        <v>20</v>
      </c>
      <c r="B26" s="101">
        <f>+'ESTIMACIÓN 2016'!D$4*'CALCULO GARANTIA'!N25</f>
        <v>21810979.355840601</v>
      </c>
    </row>
    <row r="27" spans="1:2" x14ac:dyDescent="0.2">
      <c r="A27" s="100" t="s">
        <v>21</v>
      </c>
      <c r="B27" s="101">
        <f>+'ESTIMACIÓN 2016'!D$4*'CALCULO GARANTIA'!N26</f>
        <v>3232577.6683775098</v>
      </c>
    </row>
    <row r="28" spans="1:2" x14ac:dyDescent="0.2">
      <c r="A28" s="100" t="s">
        <v>22</v>
      </c>
      <c r="B28" s="101">
        <f>+'ESTIMACIÓN 2016'!D$4*'CALCULO GARANTIA'!N27</f>
        <v>516639.78639685869</v>
      </c>
    </row>
    <row r="29" spans="1:2" x14ac:dyDescent="0.2">
      <c r="A29" s="100" t="s">
        <v>23</v>
      </c>
      <c r="B29" s="101">
        <f>+'ESTIMACIÓN 2016'!D$4*'CALCULO GARANTIA'!N28</f>
        <v>2372116.1768285409</v>
      </c>
    </row>
    <row r="30" spans="1:2" x14ac:dyDescent="0.2">
      <c r="A30" s="100" t="s">
        <v>24</v>
      </c>
      <c r="B30" s="101">
        <f>+'ESTIMACIÓN 2016'!D$4*'CALCULO GARANTIA'!N29</f>
        <v>2284756.4813005459</v>
      </c>
    </row>
    <row r="31" spans="1:2" x14ac:dyDescent="0.2">
      <c r="A31" s="100" t="s">
        <v>25</v>
      </c>
      <c r="B31" s="101">
        <f>+'ESTIMACIÓN 2016'!D$4*'CALCULO GARANTIA'!N30</f>
        <v>36873193.224609755</v>
      </c>
    </row>
    <row r="32" spans="1:2" x14ac:dyDescent="0.2">
      <c r="A32" s="100" t="s">
        <v>26</v>
      </c>
      <c r="B32" s="101">
        <f>+'ESTIMACIÓN 2016'!D$4*'CALCULO GARANTIA'!N31</f>
        <v>962652.49169825972</v>
      </c>
    </row>
    <row r="33" spans="1:2" x14ac:dyDescent="0.2">
      <c r="A33" s="100" t="s">
        <v>27</v>
      </c>
      <c r="B33" s="101">
        <f>+'ESTIMACIÓN 2016'!D$4*'CALCULO GARANTIA'!N32</f>
        <v>1658661.4848231794</v>
      </c>
    </row>
    <row r="34" spans="1:2" x14ac:dyDescent="0.2">
      <c r="A34" s="100" t="s">
        <v>28</v>
      </c>
      <c r="B34" s="101">
        <f>+'ESTIMACIÓN 2016'!D$4*'CALCULO GARANTIA'!N33</f>
        <v>894823.44065550517</v>
      </c>
    </row>
    <row r="35" spans="1:2" x14ac:dyDescent="0.2">
      <c r="A35" s="100" t="s">
        <v>29</v>
      </c>
      <c r="B35" s="101">
        <f>+'ESTIMACIÓN 2016'!D$4*'CALCULO GARANTIA'!N34</f>
        <v>1327415.2545742316</v>
      </c>
    </row>
    <row r="36" spans="1:2" x14ac:dyDescent="0.2">
      <c r="A36" s="100" t="s">
        <v>30</v>
      </c>
      <c r="B36" s="101">
        <f>+'ESTIMACIÓN 2016'!D$4*'CALCULO GARANTIA'!N35</f>
        <v>1220417.5742217794</v>
      </c>
    </row>
    <row r="37" spans="1:2" x14ac:dyDescent="0.2">
      <c r="A37" s="100" t="s">
        <v>31</v>
      </c>
      <c r="B37" s="101">
        <f>+'ESTIMACIÓN 2016'!D$4*'CALCULO GARANTIA'!N36</f>
        <v>11623530.75037751</v>
      </c>
    </row>
    <row r="38" spans="1:2" x14ac:dyDescent="0.2">
      <c r="A38" s="100" t="s">
        <v>32</v>
      </c>
      <c r="B38" s="101">
        <f>+'ESTIMACIÓN 2016'!D$4*'CALCULO GARANTIA'!N37</f>
        <v>2263371.2756299274</v>
      </c>
    </row>
    <row r="39" spans="1:2" x14ac:dyDescent="0.2">
      <c r="A39" s="100" t="s">
        <v>33</v>
      </c>
      <c r="B39" s="101">
        <f>+'ESTIMACIÓN 2016'!D$4*'CALCULO GARANTIA'!N38</f>
        <v>8304369.7761133946</v>
      </c>
    </row>
    <row r="40" spans="1:2" x14ac:dyDescent="0.2">
      <c r="A40" s="100" t="s">
        <v>34</v>
      </c>
      <c r="B40" s="101">
        <f>+'ESTIMACIÓN 2016'!D$4*'CALCULO GARANTIA'!N39</f>
        <v>1653107.8863796454</v>
      </c>
    </row>
    <row r="41" spans="1:2" x14ac:dyDescent="0.2">
      <c r="A41" s="100" t="s">
        <v>35</v>
      </c>
      <c r="B41" s="101">
        <f>+'ESTIMACIÓN 2016'!D$4*'CALCULO GARANTIA'!N40</f>
        <v>1448583.0260799618</v>
      </c>
    </row>
    <row r="42" spans="1:2" x14ac:dyDescent="0.2">
      <c r="A42" s="100" t="s">
        <v>36</v>
      </c>
      <c r="B42" s="101">
        <f>+'ESTIMACIÓN 2016'!D$4*'CALCULO GARANTIA'!N41</f>
        <v>1786520.4337794152</v>
      </c>
    </row>
    <row r="43" spans="1:2" x14ac:dyDescent="0.2">
      <c r="A43" s="100" t="s">
        <v>37</v>
      </c>
      <c r="B43" s="101">
        <f>+'ESTIMACIÓN 2016'!D$4*'CALCULO GARANTIA'!N42</f>
        <v>2517300.013175868</v>
      </c>
    </row>
    <row r="44" spans="1:2" x14ac:dyDescent="0.2">
      <c r="A44" s="100" t="s">
        <v>38</v>
      </c>
      <c r="B44" s="101">
        <f>+'ESTIMACIÓN 2016'!D$4*'CALCULO GARANTIA'!N43</f>
        <v>5908811.4787920453</v>
      </c>
    </row>
    <row r="45" spans="1:2" x14ac:dyDescent="0.2">
      <c r="A45" s="100" t="s">
        <v>39</v>
      </c>
      <c r="B45" s="101">
        <f>+'ESTIMACIÓN 2016'!D$4*'CALCULO GARANTIA'!N44</f>
        <v>98535027.880153373</v>
      </c>
    </row>
    <row r="46" spans="1:2" x14ac:dyDescent="0.2">
      <c r="A46" s="100" t="s">
        <v>40</v>
      </c>
      <c r="B46" s="101">
        <f>+'ESTIMACIÓN 2016'!D$4*'CALCULO GARANTIA'!N45</f>
        <v>629562.67406662425</v>
      </c>
    </row>
    <row r="47" spans="1:2" x14ac:dyDescent="0.2">
      <c r="A47" s="100" t="s">
        <v>41</v>
      </c>
      <c r="B47" s="101">
        <f>+'ESTIMACIÓN 2016'!D$4*'CALCULO GARANTIA'!N46</f>
        <v>1668550.3802572992</v>
      </c>
    </row>
    <row r="48" spans="1:2" x14ac:dyDescent="0.2">
      <c r="A48" s="100" t="s">
        <v>42</v>
      </c>
      <c r="B48" s="101">
        <f>+'ESTIMACIÓN 2016'!D$4*'CALCULO GARANTIA'!N47</f>
        <v>1337776.0359789811</v>
      </c>
    </row>
    <row r="49" spans="1:2" x14ac:dyDescent="0.2">
      <c r="A49" s="100" t="s">
        <v>43</v>
      </c>
      <c r="B49" s="101">
        <f>+'ESTIMACIÓN 2016'!D$4*'CALCULO GARANTIA'!N48</f>
        <v>1447213.230924865</v>
      </c>
    </row>
    <row r="50" spans="1:2" x14ac:dyDescent="0.2">
      <c r="A50" s="100" t="s">
        <v>44</v>
      </c>
      <c r="B50" s="101">
        <f>+'ESTIMACIÓN 2016'!D$4*'CALCULO GARANTIA'!N49</f>
        <v>4318026.7546568364</v>
      </c>
    </row>
    <row r="51" spans="1:2" x14ac:dyDescent="0.2">
      <c r="A51" s="100" t="s">
        <v>45</v>
      </c>
      <c r="B51" s="101">
        <f>+'ESTIMACIÓN 2016'!D$4*'CALCULO GARANTIA'!N50</f>
        <v>3715578.3072343231</v>
      </c>
    </row>
    <row r="52" spans="1:2" x14ac:dyDescent="0.2">
      <c r="A52" s="100" t="s">
        <v>46</v>
      </c>
      <c r="B52" s="101">
        <f>+'ESTIMACIÓN 2016'!D$4*'CALCULO GARANTIA'!N51</f>
        <v>31465991.293932978</v>
      </c>
    </row>
    <row r="53" spans="1:2" x14ac:dyDescent="0.2">
      <c r="A53" s="100" t="s">
        <v>47</v>
      </c>
      <c r="B53" s="101">
        <f>+'ESTIMACIÓN 2016'!D$4*'CALCULO GARANTIA'!N52</f>
        <v>37920028.117018305</v>
      </c>
    </row>
    <row r="54" spans="1:2" x14ac:dyDescent="0.2">
      <c r="A54" s="100" t="s">
        <v>48</v>
      </c>
      <c r="B54" s="101">
        <f>+'ESTIMACIÓN 2016'!D$4*'CALCULO GARANTIA'!N53</f>
        <v>17113325.129150387</v>
      </c>
    </row>
    <row r="55" spans="1:2" x14ac:dyDescent="0.2">
      <c r="A55" s="100" t="s">
        <v>49</v>
      </c>
      <c r="B55" s="101">
        <f>+'ESTIMACIÓN 2016'!D$4*'CALCULO GARANTIA'!N54</f>
        <v>3907401.5980629334</v>
      </c>
    </row>
    <row r="56" spans="1:2" x14ac:dyDescent="0.2">
      <c r="A56" s="100" t="s">
        <v>50</v>
      </c>
      <c r="B56" s="101">
        <f>+'ESTIMACIÓN 2016'!D$4*'CALCULO GARANTIA'!N55</f>
        <v>1119571.7616569048</v>
      </c>
    </row>
    <row r="57" spans="1:2" ht="13.5" thickBot="1" x14ac:dyDescent="0.25">
      <c r="A57" s="100" t="s">
        <v>51</v>
      </c>
      <c r="B57" s="101">
        <f>+'ESTIMACIÓN 2016'!D$4*'CALCULO GARANTIA'!N56</f>
        <v>1543286.3509589194</v>
      </c>
    </row>
    <row r="58" spans="1:2" ht="14.25" thickTop="1" thickBot="1" x14ac:dyDescent="0.25">
      <c r="A58" s="102" t="s">
        <v>52</v>
      </c>
      <c r="B58" s="103">
        <f t="shared" ref="B58" si="0">SUM(B7:B57)</f>
        <v>403992400.00000006</v>
      </c>
    </row>
    <row r="59" spans="1:2" ht="13.5" thickTop="1" x14ac:dyDescent="0.2">
      <c r="A59" s="104"/>
      <c r="B59" s="104"/>
    </row>
    <row r="60" spans="1:2" ht="16.5" customHeight="1" x14ac:dyDescent="0.2">
      <c r="A60" s="95" t="s">
        <v>120</v>
      </c>
    </row>
    <row r="61" spans="1:2" x14ac:dyDescent="0.2">
      <c r="A61" s="105"/>
    </row>
    <row r="64" spans="1:2" ht="16.5" customHeight="1" x14ac:dyDescent="0.2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0.15748031496062992" bottom="0.15748031496062992" header="0.15748031496062992" footer="0.15748031496062992"/>
  <pageSetup scale="95" orientation="portrait" horizontalDpi="1200" verticalDpi="1200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N86"/>
  <sheetViews>
    <sheetView workbookViewId="0">
      <selection activeCell="B16" sqref="B16"/>
    </sheetView>
  </sheetViews>
  <sheetFormatPr baseColWidth="10" defaultColWidth="9.7109375" defaultRowHeight="12.75" x14ac:dyDescent="0.2"/>
  <cols>
    <col min="1" max="1" width="26.85546875" style="8" customWidth="1"/>
    <col min="2" max="2" width="14.28515625" style="8" customWidth="1"/>
    <col min="3" max="3" width="14.42578125" style="70" customWidth="1"/>
    <col min="4" max="4" width="12" style="8" customWidth="1"/>
    <col min="5" max="5" width="13.28515625" style="8" customWidth="1"/>
    <col min="6" max="6" width="10.28515625" style="68" customWidth="1"/>
    <col min="7" max="7" width="12.140625" style="8" customWidth="1"/>
    <col min="8" max="8" width="13.140625" style="8" customWidth="1"/>
    <col min="9" max="9" width="10.5703125" style="68" customWidth="1"/>
    <col min="10" max="10" width="14" style="70" customWidth="1"/>
    <col min="11" max="13" width="14" style="8" customWidth="1"/>
    <col min="14" max="14" width="14.42578125" style="8" customWidth="1"/>
    <col min="15" max="15" width="14.5703125" style="8" hidden="1" customWidth="1"/>
    <col min="16" max="16" width="17.42578125" style="8" hidden="1" customWidth="1"/>
    <col min="17" max="17" width="14.28515625" style="8" hidden="1" customWidth="1"/>
    <col min="18" max="18" width="15" style="8" hidden="1" customWidth="1"/>
    <col min="19" max="19" width="15.7109375" style="8" customWidth="1"/>
    <col min="20" max="22" width="13.85546875" style="8" customWidth="1"/>
    <col min="23" max="23" width="14.5703125" style="8" customWidth="1"/>
    <col min="24" max="24" width="14.28515625" style="8" hidden="1" customWidth="1"/>
    <col min="25" max="25" width="15.42578125" style="8" hidden="1" customWidth="1"/>
    <col min="26" max="26" width="13.5703125" style="8" hidden="1" customWidth="1"/>
    <col min="27" max="27" width="14.140625" style="8" hidden="1" customWidth="1"/>
    <col min="28" max="28" width="14.5703125" style="8" customWidth="1"/>
    <col min="29" max="29" width="12.140625" style="8" customWidth="1"/>
    <col min="30" max="30" width="18.42578125" style="8" customWidth="1"/>
    <col min="31" max="31" width="10.7109375" style="184" customWidth="1"/>
    <col min="32" max="32" width="15.7109375" style="8" customWidth="1"/>
    <col min="33" max="33" width="10.7109375" style="8" customWidth="1"/>
    <col min="34" max="34" width="15.42578125" style="70" customWidth="1"/>
    <col min="35" max="35" width="3.7109375" style="6" customWidth="1"/>
    <col min="36" max="36" width="16.85546875" style="8" customWidth="1"/>
    <col min="37" max="38" width="18.42578125" style="8" customWidth="1"/>
    <col min="39" max="39" width="21.140625" style="8" customWidth="1"/>
    <col min="40" max="40" width="15.42578125" style="70" customWidth="1"/>
    <col min="41" max="16384" width="9.7109375" style="8"/>
  </cols>
  <sheetData>
    <row r="1" spans="1:40" ht="20.25" x14ac:dyDescent="0.3">
      <c r="A1" s="255" t="s">
        <v>198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</row>
    <row r="2" spans="1:40" ht="5.25" customHeight="1" thickBot="1" x14ac:dyDescent="0.3">
      <c r="B2" s="256"/>
      <c r="C2" s="256"/>
      <c r="D2" s="238"/>
      <c r="E2" s="257"/>
      <c r="F2" s="257"/>
      <c r="G2" s="257"/>
      <c r="H2" s="257"/>
      <c r="I2" s="257"/>
      <c r="J2" s="257"/>
      <c r="K2" s="238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</row>
    <row r="3" spans="1:40" ht="51.75" customHeight="1" thickBot="1" x14ac:dyDescent="0.25">
      <c r="A3" s="4" t="s">
        <v>0</v>
      </c>
      <c r="B3" s="230" t="s">
        <v>197</v>
      </c>
      <c r="C3" s="229" t="s">
        <v>196</v>
      </c>
      <c r="D3" s="4" t="s">
        <v>92</v>
      </c>
      <c r="E3" s="228" t="s">
        <v>93</v>
      </c>
      <c r="F3" s="5">
        <v>0.85</v>
      </c>
      <c r="G3" s="4" t="s">
        <v>56</v>
      </c>
      <c r="H3" s="228" t="s">
        <v>195</v>
      </c>
      <c r="I3" s="5">
        <v>0.15</v>
      </c>
      <c r="J3" s="227" t="s">
        <v>194</v>
      </c>
      <c r="K3" s="4" t="s">
        <v>79</v>
      </c>
      <c r="L3" s="4" t="s">
        <v>80</v>
      </c>
      <c r="M3" s="4" t="s">
        <v>96</v>
      </c>
      <c r="N3" s="4" t="s">
        <v>97</v>
      </c>
      <c r="O3" s="4" t="s">
        <v>81</v>
      </c>
      <c r="P3" s="4" t="s">
        <v>104</v>
      </c>
      <c r="Q3" s="4" t="s">
        <v>105</v>
      </c>
      <c r="R3" s="4" t="s">
        <v>100</v>
      </c>
      <c r="S3" s="4" t="s">
        <v>61</v>
      </c>
      <c r="T3" s="4" t="s">
        <v>90</v>
      </c>
      <c r="U3" s="4" t="s">
        <v>91</v>
      </c>
      <c r="V3" s="4" t="s">
        <v>107</v>
      </c>
      <c r="W3" s="4" t="s">
        <v>106</v>
      </c>
      <c r="X3" s="4" t="s">
        <v>81</v>
      </c>
      <c r="Y3" s="4" t="s">
        <v>99</v>
      </c>
      <c r="Z3" s="4" t="s">
        <v>102</v>
      </c>
      <c r="AA3" s="4" t="s">
        <v>101</v>
      </c>
      <c r="AB3" s="4" t="s">
        <v>60</v>
      </c>
      <c r="AC3" s="5">
        <v>0.85</v>
      </c>
      <c r="AD3" s="4" t="s">
        <v>103</v>
      </c>
      <c r="AE3" s="226" t="s">
        <v>62</v>
      </c>
      <c r="AF3" s="7" t="s">
        <v>64</v>
      </c>
      <c r="AG3" s="5">
        <v>0.15</v>
      </c>
      <c r="AH3" s="225" t="s">
        <v>98</v>
      </c>
      <c r="AJ3" s="224" t="s">
        <v>193</v>
      </c>
      <c r="AK3" s="224" t="s">
        <v>111</v>
      </c>
      <c r="AL3" s="224" t="s">
        <v>192</v>
      </c>
      <c r="AM3" s="224" t="s">
        <v>191</v>
      </c>
      <c r="AN3" s="223" t="s">
        <v>109</v>
      </c>
    </row>
    <row r="4" spans="1:40" s="11" customFormat="1" ht="25.5" customHeight="1" x14ac:dyDescent="0.2">
      <c r="A4" s="222"/>
      <c r="B4" s="221" t="s">
        <v>190</v>
      </c>
      <c r="C4" s="220" t="s">
        <v>189</v>
      </c>
      <c r="D4" s="76" t="s">
        <v>55</v>
      </c>
      <c r="E4" s="217" t="s">
        <v>71</v>
      </c>
      <c r="F4" s="219" t="s">
        <v>73</v>
      </c>
      <c r="G4" s="213" t="s">
        <v>65</v>
      </c>
      <c r="H4" s="217" t="s">
        <v>74</v>
      </c>
      <c r="I4" s="219" t="s">
        <v>75</v>
      </c>
      <c r="J4" s="156" t="s">
        <v>67</v>
      </c>
      <c r="K4" s="213" t="s">
        <v>82</v>
      </c>
      <c r="L4" s="213" t="s">
        <v>83</v>
      </c>
      <c r="M4" s="213" t="s">
        <v>84</v>
      </c>
      <c r="N4" s="213" t="s">
        <v>85</v>
      </c>
      <c r="O4" s="213" t="s">
        <v>86</v>
      </c>
      <c r="P4" s="213" t="s">
        <v>87</v>
      </c>
      <c r="Q4" s="213" t="s">
        <v>88</v>
      </c>
      <c r="R4" s="213" t="s">
        <v>89</v>
      </c>
      <c r="S4" s="76" t="s">
        <v>58</v>
      </c>
      <c r="T4" s="213" t="s">
        <v>82</v>
      </c>
      <c r="U4" s="213" t="s">
        <v>83</v>
      </c>
      <c r="V4" s="213" t="s">
        <v>84</v>
      </c>
      <c r="W4" s="213" t="s">
        <v>85</v>
      </c>
      <c r="X4" s="213" t="s">
        <v>86</v>
      </c>
      <c r="Y4" s="213" t="s">
        <v>87</v>
      </c>
      <c r="Z4" s="213" t="s">
        <v>88</v>
      </c>
      <c r="AA4" s="213" t="s">
        <v>89</v>
      </c>
      <c r="AB4" s="217" t="s">
        <v>57</v>
      </c>
      <c r="AC4" s="217" t="s">
        <v>76</v>
      </c>
      <c r="AD4" s="217" t="s">
        <v>63</v>
      </c>
      <c r="AE4" s="218" t="s">
        <v>59</v>
      </c>
      <c r="AF4" s="217" t="s">
        <v>77</v>
      </c>
      <c r="AG4" s="217"/>
      <c r="AH4" s="156" t="s">
        <v>188</v>
      </c>
      <c r="AI4" s="10"/>
      <c r="AJ4" s="9">
        <f>+AM4*0.5</f>
        <v>263724999.99999997</v>
      </c>
      <c r="AK4" s="9">
        <f>+AM4*0.25</f>
        <v>131862499.99999999</v>
      </c>
      <c r="AL4" s="9">
        <f>+AM4*0.25</f>
        <v>131862499.99999999</v>
      </c>
      <c r="AM4" s="9">
        <f>+' E TENENCIA 2016'!D4</f>
        <v>527449999.99999994</v>
      </c>
      <c r="AN4" s="216"/>
    </row>
    <row r="5" spans="1:40" s="17" customFormat="1" ht="21" customHeight="1" thickBot="1" x14ac:dyDescent="0.25">
      <c r="A5" s="12"/>
      <c r="B5" s="215"/>
      <c r="C5" s="214"/>
      <c r="D5" s="12"/>
      <c r="E5" s="13"/>
      <c r="F5" s="14"/>
      <c r="G5" s="13"/>
      <c r="H5" s="13"/>
      <c r="I5" s="14"/>
      <c r="J5" s="211"/>
      <c r="K5" s="213"/>
      <c r="L5" s="213"/>
      <c r="M5" s="213"/>
      <c r="N5" s="213"/>
      <c r="O5" s="213"/>
      <c r="P5" s="213"/>
      <c r="Q5" s="213"/>
      <c r="R5" s="213"/>
      <c r="S5" s="12"/>
      <c r="T5" s="213"/>
      <c r="U5" s="213"/>
      <c r="V5" s="213"/>
      <c r="W5" s="213"/>
      <c r="X5" s="213"/>
      <c r="Y5" s="213"/>
      <c r="Z5" s="213"/>
      <c r="AA5" s="213"/>
      <c r="AB5" s="13"/>
      <c r="AC5" s="12"/>
      <c r="AD5" s="13"/>
      <c r="AE5" s="212"/>
      <c r="AF5" s="13"/>
      <c r="AG5" s="13"/>
      <c r="AH5" s="211"/>
      <c r="AI5" s="13"/>
      <c r="AJ5" s="9" t="s">
        <v>187</v>
      </c>
      <c r="AK5" s="9" t="s">
        <v>70</v>
      </c>
      <c r="AL5" s="9" t="s">
        <v>186</v>
      </c>
      <c r="AM5" s="16" t="s">
        <v>185</v>
      </c>
      <c r="AN5" s="210" t="s">
        <v>68</v>
      </c>
    </row>
    <row r="6" spans="1:40" ht="15" thickTop="1" x14ac:dyDescent="0.2">
      <c r="A6" s="1" t="s">
        <v>1</v>
      </c>
      <c r="B6" s="209">
        <v>323030</v>
      </c>
      <c r="C6" s="83">
        <f t="shared" ref="C6:C37" si="0">(B6/B$57)</f>
        <v>1.924442215714968E-4</v>
      </c>
      <c r="D6" s="208">
        <v>2791</v>
      </c>
      <c r="E6" s="77">
        <f t="shared" ref="E6:E37" si="1">+D6/$D$57</f>
        <v>5.9976903197579094E-4</v>
      </c>
      <c r="F6" s="19">
        <f t="shared" ref="F6:F37" si="2">+E6*F$3</f>
        <v>5.0980367717942232E-4</v>
      </c>
      <c r="G6" s="20">
        <v>47.45</v>
      </c>
      <c r="H6" s="77">
        <f t="shared" ref="H6:H37" si="3">+G6/$G$57</f>
        <v>7.3886478603129777E-4</v>
      </c>
      <c r="I6" s="21">
        <f t="shared" ref="I6:I37" si="4">+H6*I$3</f>
        <v>1.1082971790469465E-4</v>
      </c>
      <c r="J6" s="83">
        <f t="shared" ref="J6:J37" si="5">+I6+F6</f>
        <v>6.20633395084117E-4</v>
      </c>
      <c r="K6" s="22">
        <v>334</v>
      </c>
      <c r="L6" s="23">
        <v>78</v>
      </c>
      <c r="M6" s="23">
        <v>539</v>
      </c>
      <c r="N6" s="23">
        <v>28</v>
      </c>
      <c r="O6" s="24">
        <f t="shared" ref="O6:O37" si="6">+K6/K$57*0.25</f>
        <v>1.9531661173630621E-4</v>
      </c>
      <c r="P6" s="24">
        <f t="shared" ref="P6:P37" si="7">+L6/L$57*0.25</f>
        <v>2.2168411718563488E-4</v>
      </c>
      <c r="Q6" s="24">
        <f t="shared" ref="Q6:Q37" si="8">+M6/M$57*0.25</f>
        <v>4.0332477297080497E-4</v>
      </c>
      <c r="R6" s="24">
        <f t="shared" ref="R6:R37" si="9">+N6/N$57*0.25</f>
        <v>1.788314641187441E-4</v>
      </c>
      <c r="S6" s="207">
        <f t="shared" ref="S6:S37" si="10">SUM(O6:R6)</f>
        <v>9.9915696601149016E-4</v>
      </c>
      <c r="T6" s="206">
        <v>194.999999997044</v>
      </c>
      <c r="U6" s="206">
        <v>51</v>
      </c>
      <c r="V6" s="206">
        <v>69</v>
      </c>
      <c r="W6" s="206">
        <v>52</v>
      </c>
      <c r="X6" s="24">
        <f t="shared" ref="X6:X37" si="11">+T6/T$57*0.25</f>
        <v>1.5336072329640257E-4</v>
      </c>
      <c r="Y6" s="24">
        <f t="shared" ref="Y6:Y37" si="12">+U6/U$57*0.25</f>
        <v>1.7408044564594084E-4</v>
      </c>
      <c r="Z6" s="24">
        <f t="shared" ref="Z6:Z37" si="13">+V6/V$57*0.25</f>
        <v>1.4011176451476657E-4</v>
      </c>
      <c r="AA6" s="24">
        <f t="shared" ref="AA6:AA37" si="14">+W6/W$57*0.25</f>
        <v>9.4710767885764239E-4</v>
      </c>
      <c r="AB6" s="18">
        <f t="shared" ref="AB6:AB37" si="15">SUM(X6:AA6)</f>
        <v>1.4146606123147524E-3</v>
      </c>
      <c r="AC6" s="205">
        <f t="shared" ref="AC6:AC37" si="16">+AB6*AC$3</f>
        <v>1.2024615204675394E-3</v>
      </c>
      <c r="AD6" s="77">
        <f t="shared" ref="AD6:AD37" si="17">+(AB6-S6)/S6</f>
        <v>0.415854225549666</v>
      </c>
      <c r="AE6" s="204">
        <f t="shared" ref="AE6:AE37" si="18">IF(AD6&gt;0,0,AD6)</f>
        <v>0</v>
      </c>
      <c r="AF6" s="77">
        <f t="shared" ref="AF6:AF37" si="19">+AE6/AE$57</f>
        <v>0</v>
      </c>
      <c r="AG6" s="19">
        <f t="shared" ref="AG6:AG37" si="20">+AF6*AG$3</f>
        <v>0</v>
      </c>
      <c r="AH6" s="83">
        <f t="shared" ref="AH6:AH37" si="21">+AG6+AC6</f>
        <v>1.2024615204675394E-3</v>
      </c>
      <c r="AJ6" s="31">
        <f t="shared" ref="AJ6:AJ37" si="22">+C6*AJ$4</f>
        <v>50752.352333942988</v>
      </c>
      <c r="AK6" s="32">
        <f t="shared" ref="AK6:AK37" si="23">+J6*AK$4</f>
        <v>81838.271059279374</v>
      </c>
      <c r="AL6" s="32">
        <f t="shared" ref="AL6:AL37" si="24">+AH6*AL$4</f>
        <v>158559.58224265091</v>
      </c>
      <c r="AM6" s="32">
        <f t="shared" ref="AM6:AM37" si="25">SUM(AJ6:AL6)</f>
        <v>291150.20563587325</v>
      </c>
      <c r="AN6" s="203">
        <f t="shared" ref="AN6:AN37" si="26">+AM6/AM$57</f>
        <v>5.5199583967366242E-4</v>
      </c>
    </row>
    <row r="7" spans="1:40" ht="14.25" x14ac:dyDescent="0.2">
      <c r="A7" s="2" t="s">
        <v>2</v>
      </c>
      <c r="B7" s="202">
        <v>323587</v>
      </c>
      <c r="C7" s="84">
        <f t="shared" si="0"/>
        <v>1.9277605276802755E-4</v>
      </c>
      <c r="D7" s="201">
        <v>3443</v>
      </c>
      <c r="E7" s="78">
        <f t="shared" si="1"/>
        <v>7.3987989146995627E-4</v>
      </c>
      <c r="F7" s="35">
        <f t="shared" si="2"/>
        <v>6.2889790774946284E-4</v>
      </c>
      <c r="G7" s="36">
        <v>978.99</v>
      </c>
      <c r="H7" s="78">
        <f t="shared" si="3"/>
        <v>1.524428317970032E-2</v>
      </c>
      <c r="I7" s="37">
        <f t="shared" si="4"/>
        <v>2.2866424769550477E-3</v>
      </c>
      <c r="J7" s="84">
        <f t="shared" si="5"/>
        <v>2.9155403847045108E-3</v>
      </c>
      <c r="K7" s="38">
        <v>768</v>
      </c>
      <c r="L7" s="39">
        <v>191</v>
      </c>
      <c r="M7" s="39">
        <v>961</v>
      </c>
      <c r="N7" s="39">
        <v>102</v>
      </c>
      <c r="O7" s="40">
        <f t="shared" si="6"/>
        <v>4.4911125093857236E-4</v>
      </c>
      <c r="P7" s="40">
        <f t="shared" si="7"/>
        <v>5.4284187669815717E-4</v>
      </c>
      <c r="Q7" s="40">
        <f t="shared" si="8"/>
        <v>7.1910038371974692E-4</v>
      </c>
      <c r="R7" s="40">
        <f t="shared" si="9"/>
        <v>6.514574764325678E-4</v>
      </c>
      <c r="S7" s="200">
        <f t="shared" si="10"/>
        <v>2.3625109877890441E-3</v>
      </c>
      <c r="T7" s="199">
        <v>468.99999999269994</v>
      </c>
      <c r="U7" s="199">
        <v>120</v>
      </c>
      <c r="V7" s="199">
        <v>175</v>
      </c>
      <c r="W7" s="199">
        <v>44</v>
      </c>
      <c r="X7" s="40">
        <f t="shared" si="11"/>
        <v>3.6885220115889019E-4</v>
      </c>
      <c r="Y7" s="40">
        <f t="shared" si="12"/>
        <v>4.0960104857868437E-4</v>
      </c>
      <c r="Z7" s="40">
        <f t="shared" si="13"/>
        <v>3.5535592449397314E-4</v>
      </c>
      <c r="AA7" s="40">
        <f t="shared" si="14"/>
        <v>8.0139880518723594E-4</v>
      </c>
      <c r="AB7" s="34">
        <f t="shared" si="15"/>
        <v>1.9352079794187835E-3</v>
      </c>
      <c r="AC7" s="198">
        <f t="shared" si="16"/>
        <v>1.644926782505966E-3</v>
      </c>
      <c r="AD7" s="78">
        <f t="shared" si="17"/>
        <v>-0.1808681570493571</v>
      </c>
      <c r="AE7" s="197">
        <f t="shared" si="18"/>
        <v>-0.1808681570493571</v>
      </c>
      <c r="AF7" s="78">
        <f t="shared" si="19"/>
        <v>3.3703048799913031E-2</v>
      </c>
      <c r="AG7" s="35">
        <f t="shared" si="20"/>
        <v>5.0554573199869546E-3</v>
      </c>
      <c r="AH7" s="84">
        <f t="shared" si="21"/>
        <v>6.7003841024929206E-3</v>
      </c>
      <c r="AJ7" s="47">
        <f t="shared" si="22"/>
        <v>50839.864516248061</v>
      </c>
      <c r="AK7" s="48">
        <f t="shared" si="23"/>
        <v>384450.44397809851</v>
      </c>
      <c r="AL7" s="48">
        <f t="shared" si="24"/>
        <v>883529.39871497266</v>
      </c>
      <c r="AM7" s="48">
        <f t="shared" si="25"/>
        <v>1318819.7072093193</v>
      </c>
      <c r="AN7" s="196">
        <f t="shared" si="26"/>
        <v>2.5003691481833715E-3</v>
      </c>
    </row>
    <row r="8" spans="1:40" ht="14.25" x14ac:dyDescent="0.2">
      <c r="A8" s="2" t="s">
        <v>3</v>
      </c>
      <c r="B8" s="202">
        <v>15361</v>
      </c>
      <c r="C8" s="84">
        <f t="shared" si="0"/>
        <v>9.1512729082740375E-6</v>
      </c>
      <c r="D8" s="201">
        <v>1374</v>
      </c>
      <c r="E8" s="78">
        <f t="shared" si="1"/>
        <v>2.9526429592788847E-4</v>
      </c>
      <c r="F8" s="35">
        <f t="shared" si="2"/>
        <v>2.509746515387052E-4</v>
      </c>
      <c r="G8" s="36">
        <v>696.75</v>
      </c>
      <c r="H8" s="78">
        <f t="shared" si="3"/>
        <v>1.0849400203736705E-2</v>
      </c>
      <c r="I8" s="37">
        <f t="shared" si="4"/>
        <v>1.6274100305605057E-3</v>
      </c>
      <c r="J8" s="84">
        <f t="shared" si="5"/>
        <v>1.8783846820992108E-3</v>
      </c>
      <c r="K8" s="38">
        <v>363</v>
      </c>
      <c r="L8" s="39">
        <v>91</v>
      </c>
      <c r="M8" s="39">
        <v>728</v>
      </c>
      <c r="N8" s="39">
        <v>81</v>
      </c>
      <c r="O8" s="40">
        <f t="shared" si="6"/>
        <v>2.1227523970143459E-4</v>
      </c>
      <c r="P8" s="40">
        <f t="shared" si="7"/>
        <v>2.5863147004990736E-4</v>
      </c>
      <c r="Q8" s="40">
        <f t="shared" si="8"/>
        <v>5.4475034271381456E-4</v>
      </c>
      <c r="R8" s="40">
        <f t="shared" si="9"/>
        <v>5.1733387834350972E-4</v>
      </c>
      <c r="S8" s="200">
        <f t="shared" si="10"/>
        <v>1.5329909308086662E-3</v>
      </c>
      <c r="T8" s="199">
        <v>209.00000000199</v>
      </c>
      <c r="U8" s="199">
        <v>60</v>
      </c>
      <c r="V8" s="199">
        <v>193</v>
      </c>
      <c r="W8" s="199">
        <v>19</v>
      </c>
      <c r="X8" s="40">
        <f t="shared" si="11"/>
        <v>1.6437123676789337E-4</v>
      </c>
      <c r="Y8" s="40">
        <f t="shared" si="12"/>
        <v>2.0480052428934218E-4</v>
      </c>
      <c r="Z8" s="40">
        <f t="shared" si="13"/>
        <v>3.9190681958478185E-4</v>
      </c>
      <c r="AA8" s="40">
        <f t="shared" si="14"/>
        <v>3.4605857496721549E-4</v>
      </c>
      <c r="AB8" s="34">
        <f t="shared" si="15"/>
        <v>1.107137155609233E-3</v>
      </c>
      <c r="AC8" s="198">
        <f t="shared" si="16"/>
        <v>9.4106658226784804E-4</v>
      </c>
      <c r="AD8" s="78">
        <f t="shared" si="17"/>
        <v>-0.27779275574369616</v>
      </c>
      <c r="AE8" s="197">
        <f t="shared" si="18"/>
        <v>-0.27779275574369616</v>
      </c>
      <c r="AF8" s="78">
        <f t="shared" si="19"/>
        <v>5.1764019470476444E-2</v>
      </c>
      <c r="AG8" s="35">
        <f t="shared" si="20"/>
        <v>7.7646029205714661E-3</v>
      </c>
      <c r="AH8" s="84">
        <f t="shared" si="21"/>
        <v>8.7056695028393145E-3</v>
      </c>
      <c r="AJ8" s="47">
        <f t="shared" si="22"/>
        <v>2413.4194477345704</v>
      </c>
      <c r="AK8" s="48">
        <f t="shared" si="23"/>
        <v>247688.50014330714</v>
      </c>
      <c r="AL8" s="48">
        <f t="shared" si="24"/>
        <v>1147951.344818149</v>
      </c>
      <c r="AM8" s="48">
        <f t="shared" si="25"/>
        <v>1398053.2644091907</v>
      </c>
      <c r="AN8" s="196">
        <f t="shared" si="26"/>
        <v>2.6505891826887683E-3</v>
      </c>
    </row>
    <row r="9" spans="1:40" ht="13.5" customHeight="1" x14ac:dyDescent="0.2">
      <c r="A9" s="2" t="s">
        <v>4</v>
      </c>
      <c r="B9" s="202">
        <v>12872464.319999998</v>
      </c>
      <c r="C9" s="84">
        <f t="shared" si="0"/>
        <v>7.6687347174233559E-3</v>
      </c>
      <c r="D9" s="201">
        <v>32593</v>
      </c>
      <c r="E9" s="78">
        <f t="shared" si="1"/>
        <v>7.0040387170143149E-3</v>
      </c>
      <c r="F9" s="35">
        <f t="shared" si="2"/>
        <v>5.9534329094621677E-3</v>
      </c>
      <c r="G9" s="36">
        <v>190.52</v>
      </c>
      <c r="H9" s="78">
        <f t="shared" si="3"/>
        <v>2.9666705802883636E-3</v>
      </c>
      <c r="I9" s="37">
        <f t="shared" si="4"/>
        <v>4.4500058704325453E-4</v>
      </c>
      <c r="J9" s="84">
        <f t="shared" si="5"/>
        <v>6.3984334965054221E-3</v>
      </c>
      <c r="K9" s="38">
        <v>3420</v>
      </c>
      <c r="L9" s="39">
        <v>773</v>
      </c>
      <c r="M9" s="39">
        <v>6993</v>
      </c>
      <c r="N9" s="39">
        <v>216</v>
      </c>
      <c r="O9" s="40">
        <f t="shared" si="6"/>
        <v>1.99994853933583E-3</v>
      </c>
      <c r="P9" s="40">
        <f t="shared" si="7"/>
        <v>2.196946443390971E-3</v>
      </c>
      <c r="Q9" s="40">
        <f t="shared" si="8"/>
        <v>5.2327460804913531E-3</v>
      </c>
      <c r="R9" s="40">
        <f t="shared" si="9"/>
        <v>1.3795570089160259E-3</v>
      </c>
      <c r="S9" s="200">
        <f t="shared" si="10"/>
        <v>1.080919807213418E-2</v>
      </c>
      <c r="T9" s="199">
        <v>2055.0000000045479</v>
      </c>
      <c r="U9" s="199">
        <v>629</v>
      </c>
      <c r="V9" s="199">
        <v>1238</v>
      </c>
      <c r="W9" s="199">
        <v>59</v>
      </c>
      <c r="X9" s="40">
        <f t="shared" si="11"/>
        <v>1.6161860839978574E-3</v>
      </c>
      <c r="Y9" s="40">
        <f t="shared" si="12"/>
        <v>2.1469921629666037E-3</v>
      </c>
      <c r="Z9" s="40">
        <f t="shared" si="13"/>
        <v>2.5138893401345074E-3</v>
      </c>
      <c r="AA9" s="40">
        <f t="shared" si="14"/>
        <v>1.074602943319248E-3</v>
      </c>
      <c r="AB9" s="34">
        <f t="shared" si="15"/>
        <v>7.3516705304182165E-3</v>
      </c>
      <c r="AC9" s="198">
        <f t="shared" si="16"/>
        <v>6.2489199508554841E-3</v>
      </c>
      <c r="AD9" s="78">
        <f t="shared" si="17"/>
        <v>-0.31986901513345156</v>
      </c>
      <c r="AE9" s="197">
        <f t="shared" si="18"/>
        <v>-0.31986901513345156</v>
      </c>
      <c r="AF9" s="78">
        <f t="shared" si="19"/>
        <v>5.9604527422043294E-2</v>
      </c>
      <c r="AG9" s="35">
        <f t="shared" si="20"/>
        <v>8.9406791133064944E-3</v>
      </c>
      <c r="AH9" s="84">
        <f t="shared" si="21"/>
        <v>1.5189599064161979E-2</v>
      </c>
      <c r="AJ9" s="47">
        <f t="shared" si="22"/>
        <v>2022437.0633524742</v>
      </c>
      <c r="AK9" s="48">
        <f t="shared" si="23"/>
        <v>843713.43693294609</v>
      </c>
      <c r="AL9" s="48">
        <f t="shared" si="24"/>
        <v>2002938.5065980589</v>
      </c>
      <c r="AM9" s="48">
        <f t="shared" si="25"/>
        <v>4869089.0068834797</v>
      </c>
      <c r="AN9" s="196">
        <f t="shared" si="26"/>
        <v>9.2313754988785288E-3</v>
      </c>
    </row>
    <row r="10" spans="1:40" ht="14.25" x14ac:dyDescent="0.2">
      <c r="A10" s="2" t="s">
        <v>5</v>
      </c>
      <c r="B10" s="202">
        <v>1166042</v>
      </c>
      <c r="C10" s="84">
        <f t="shared" si="0"/>
        <v>6.9466626941668355E-4</v>
      </c>
      <c r="D10" s="201">
        <v>18480</v>
      </c>
      <c r="E10" s="78">
        <f t="shared" si="1"/>
        <v>3.9712403120432159E-3</v>
      </c>
      <c r="F10" s="35">
        <f t="shared" si="2"/>
        <v>3.3755542652367334E-3</v>
      </c>
      <c r="G10" s="36">
        <v>4572.87</v>
      </c>
      <c r="H10" s="78">
        <f t="shared" si="3"/>
        <v>7.1206166788175776E-2</v>
      </c>
      <c r="I10" s="37">
        <f t="shared" si="4"/>
        <v>1.0680925018226366E-2</v>
      </c>
      <c r="J10" s="84">
        <f t="shared" si="5"/>
        <v>1.4056479283463099E-2</v>
      </c>
      <c r="K10" s="38">
        <v>3207</v>
      </c>
      <c r="L10" s="39">
        <v>706</v>
      </c>
      <c r="M10" s="39">
        <v>5696</v>
      </c>
      <c r="N10" s="39">
        <v>1464</v>
      </c>
      <c r="O10" s="40">
        <f t="shared" si="6"/>
        <v>1.8753903408333353E-3</v>
      </c>
      <c r="P10" s="40">
        <f t="shared" si="7"/>
        <v>2.0065254709366437E-3</v>
      </c>
      <c r="Q10" s="40">
        <f t="shared" si="8"/>
        <v>4.2622224616729225E-3</v>
      </c>
      <c r="R10" s="40">
        <f t="shared" si="9"/>
        <v>9.3503308382086193E-3</v>
      </c>
      <c r="S10" s="200">
        <f t="shared" si="10"/>
        <v>1.749446911165152E-2</v>
      </c>
      <c r="T10" s="199">
        <v>2802.0000000077798</v>
      </c>
      <c r="U10" s="199">
        <v>510</v>
      </c>
      <c r="V10" s="199">
        <v>1865</v>
      </c>
      <c r="W10" s="199">
        <v>534</v>
      </c>
      <c r="X10" s="40">
        <f t="shared" si="11"/>
        <v>2.2036756240216781E-3</v>
      </c>
      <c r="Y10" s="40">
        <f t="shared" si="12"/>
        <v>1.7408044564594086E-3</v>
      </c>
      <c r="Z10" s="40">
        <f t="shared" si="13"/>
        <v>3.7870788524643428E-3</v>
      </c>
      <c r="AA10" s="40">
        <f t="shared" si="14"/>
        <v>9.7260673174996357E-3</v>
      </c>
      <c r="AB10" s="34">
        <f t="shared" si="15"/>
        <v>1.7457626250445064E-2</v>
      </c>
      <c r="AC10" s="198">
        <f t="shared" si="16"/>
        <v>1.4838982312878304E-2</v>
      </c>
      <c r="AD10" s="78">
        <f t="shared" si="17"/>
        <v>-2.1059719486953626E-3</v>
      </c>
      <c r="AE10" s="197">
        <f t="shared" si="18"/>
        <v>-2.1059719486953626E-3</v>
      </c>
      <c r="AF10" s="78">
        <f t="shared" si="19"/>
        <v>3.9242770267603632E-4</v>
      </c>
      <c r="AG10" s="35">
        <f t="shared" si="20"/>
        <v>5.8864155401405446E-5</v>
      </c>
      <c r="AH10" s="84">
        <f t="shared" si="21"/>
        <v>1.4897846468279709E-2</v>
      </c>
      <c r="AJ10" s="47">
        <f t="shared" si="22"/>
        <v>183200.86190191485</v>
      </c>
      <c r="AK10" s="48">
        <f t="shared" si="23"/>
        <v>1853522.4995156527</v>
      </c>
      <c r="AL10" s="48">
        <f t="shared" si="24"/>
        <v>1964467.2799235329</v>
      </c>
      <c r="AM10" s="48">
        <f t="shared" si="25"/>
        <v>4001190.6413411004</v>
      </c>
      <c r="AN10" s="196">
        <f t="shared" si="26"/>
        <v>7.5859145726440433E-3</v>
      </c>
    </row>
    <row r="11" spans="1:40" ht="14.25" x14ac:dyDescent="0.2">
      <c r="A11" s="2" t="s">
        <v>6</v>
      </c>
      <c r="B11" s="202">
        <v>93621167.070000008</v>
      </c>
      <c r="C11" s="84">
        <f t="shared" si="0"/>
        <v>5.5774549173145532E-2</v>
      </c>
      <c r="D11" s="201">
        <v>523370</v>
      </c>
      <c r="E11" s="78">
        <f t="shared" si="1"/>
        <v>0.11246904989794686</v>
      </c>
      <c r="F11" s="35">
        <f t="shared" si="2"/>
        <v>9.5598692413254832E-2</v>
      </c>
      <c r="G11" s="36">
        <v>238.03</v>
      </c>
      <c r="H11" s="78">
        <f t="shared" si="3"/>
        <v>3.7064696526665922E-3</v>
      </c>
      <c r="I11" s="37">
        <f t="shared" si="4"/>
        <v>5.5597044789998883E-4</v>
      </c>
      <c r="J11" s="84">
        <f t="shared" si="5"/>
        <v>9.6154662861154816E-2</v>
      </c>
      <c r="K11" s="38">
        <v>27572</v>
      </c>
      <c r="L11" s="39">
        <v>4134</v>
      </c>
      <c r="M11" s="39">
        <v>4960</v>
      </c>
      <c r="N11" s="39">
        <v>1244</v>
      </c>
      <c r="O11" s="40">
        <f t="shared" si="6"/>
        <v>1.6123561732914474E-2</v>
      </c>
      <c r="P11" s="40">
        <f t="shared" si="7"/>
        <v>1.1749258210838649E-2</v>
      </c>
      <c r="Q11" s="40">
        <f t="shared" si="8"/>
        <v>3.711485851456758E-3</v>
      </c>
      <c r="R11" s="40">
        <f t="shared" si="9"/>
        <v>7.9452264772756302E-3</v>
      </c>
      <c r="S11" s="200">
        <f t="shared" si="10"/>
        <v>3.9529532272485512E-2</v>
      </c>
      <c r="T11" s="199">
        <v>34239.000000084088</v>
      </c>
      <c r="U11" s="199">
        <v>3826</v>
      </c>
      <c r="V11" s="199">
        <v>1071</v>
      </c>
      <c r="W11" s="199">
        <v>267</v>
      </c>
      <c r="X11" s="40">
        <f t="shared" si="11"/>
        <v>2.6927783615579601E-2</v>
      </c>
      <c r="Y11" s="40">
        <f t="shared" si="12"/>
        <v>1.3059446765517053E-2</v>
      </c>
      <c r="Z11" s="40">
        <f t="shared" si="13"/>
        <v>2.1747782579031156E-3</v>
      </c>
      <c r="AA11" s="40">
        <f t="shared" si="14"/>
        <v>4.8630336587498178E-3</v>
      </c>
      <c r="AB11" s="34">
        <f t="shared" si="15"/>
        <v>4.7025042297749592E-2</v>
      </c>
      <c r="AC11" s="198">
        <f t="shared" si="16"/>
        <v>3.9971285953087153E-2</v>
      </c>
      <c r="AD11" s="78">
        <f t="shared" si="17"/>
        <v>0.18961797912497236</v>
      </c>
      <c r="AE11" s="197">
        <f t="shared" si="18"/>
        <v>0</v>
      </c>
      <c r="AF11" s="78">
        <f t="shared" si="19"/>
        <v>0</v>
      </c>
      <c r="AG11" s="35">
        <f t="shared" si="20"/>
        <v>0</v>
      </c>
      <c r="AH11" s="84">
        <f t="shared" si="21"/>
        <v>3.9971285953087153E-2</v>
      </c>
      <c r="AJ11" s="47">
        <f t="shared" si="22"/>
        <v>14709142.980687805</v>
      </c>
      <c r="AK11" s="48">
        <f t="shared" si="23"/>
        <v>12679194.231529025</v>
      </c>
      <c r="AL11" s="48">
        <f t="shared" si="24"/>
        <v>5270713.6939889537</v>
      </c>
      <c r="AM11" s="48">
        <f t="shared" si="25"/>
        <v>32659050.906205785</v>
      </c>
      <c r="AN11" s="196">
        <f t="shared" si="26"/>
        <v>6.1918761790133253E-2</v>
      </c>
    </row>
    <row r="12" spans="1:40" ht="14.25" x14ac:dyDescent="0.2">
      <c r="A12" s="2" t="s">
        <v>7</v>
      </c>
      <c r="B12" s="202">
        <v>632280.85</v>
      </c>
      <c r="C12" s="84">
        <f t="shared" si="0"/>
        <v>3.7667955296045053E-4</v>
      </c>
      <c r="D12" s="201">
        <v>15470</v>
      </c>
      <c r="E12" s="78">
        <f t="shared" si="1"/>
        <v>3.3244095036422377E-3</v>
      </c>
      <c r="F12" s="35">
        <f t="shared" si="2"/>
        <v>2.825748078095902E-3</v>
      </c>
      <c r="G12" s="36">
        <v>2664.8</v>
      </c>
      <c r="H12" s="78">
        <f t="shared" si="3"/>
        <v>4.149477095503061E-2</v>
      </c>
      <c r="I12" s="37">
        <f t="shared" si="4"/>
        <v>6.224215643254591E-3</v>
      </c>
      <c r="J12" s="84">
        <f t="shared" si="5"/>
        <v>9.0499637213504926E-3</v>
      </c>
      <c r="K12" s="38">
        <v>3888</v>
      </c>
      <c r="L12" s="39">
        <v>1372</v>
      </c>
      <c r="M12" s="39">
        <v>11340</v>
      </c>
      <c r="N12" s="39">
        <v>3122</v>
      </c>
      <c r="O12" s="40">
        <f t="shared" si="6"/>
        <v>2.2736257078765226E-3</v>
      </c>
      <c r="P12" s="40">
        <f t="shared" si="7"/>
        <v>3.8993667792139876E-3</v>
      </c>
      <c r="Q12" s="40">
        <f t="shared" si="8"/>
        <v>8.4855341845805725E-3</v>
      </c>
      <c r="R12" s="40">
        <f t="shared" si="9"/>
        <v>1.9939708249239966E-2</v>
      </c>
      <c r="S12" s="200">
        <f t="shared" si="10"/>
        <v>3.4598234920911047E-2</v>
      </c>
      <c r="T12" s="199">
        <v>3560.0000000065597</v>
      </c>
      <c r="U12" s="199">
        <v>1140</v>
      </c>
      <c r="V12" s="199">
        <v>7405</v>
      </c>
      <c r="W12" s="199">
        <v>920</v>
      </c>
      <c r="X12" s="40">
        <f t="shared" si="11"/>
        <v>2.7998162817665408E-3</v>
      </c>
      <c r="Y12" s="40">
        <f t="shared" si="12"/>
        <v>3.8912099614975015E-3</v>
      </c>
      <c r="Z12" s="40">
        <f t="shared" si="13"/>
        <v>1.5036632119302121E-2</v>
      </c>
      <c r="AA12" s="40">
        <f t="shared" si="14"/>
        <v>1.6756520472096751E-2</v>
      </c>
      <c r="AB12" s="34">
        <f t="shared" si="15"/>
        <v>3.8484178834662916E-2</v>
      </c>
      <c r="AC12" s="198">
        <f t="shared" si="16"/>
        <v>3.2711552009463477E-2</v>
      </c>
      <c r="AD12" s="78">
        <f t="shared" si="17"/>
        <v>0.11231624742229894</v>
      </c>
      <c r="AE12" s="197">
        <f t="shared" si="18"/>
        <v>0</v>
      </c>
      <c r="AF12" s="78">
        <f t="shared" si="19"/>
        <v>0</v>
      </c>
      <c r="AG12" s="35">
        <f t="shared" si="20"/>
        <v>0</v>
      </c>
      <c r="AH12" s="84">
        <f t="shared" si="21"/>
        <v>3.2711552009463477E-2</v>
      </c>
      <c r="AJ12" s="47">
        <f t="shared" si="22"/>
        <v>99339.815104494803</v>
      </c>
      <c r="AK12" s="48">
        <f t="shared" si="23"/>
        <v>1193350.8412065792</v>
      </c>
      <c r="AL12" s="48">
        <f t="shared" si="24"/>
        <v>4313427.0268478775</v>
      </c>
      <c r="AM12" s="48">
        <f t="shared" si="25"/>
        <v>5606117.6831589518</v>
      </c>
      <c r="AN12" s="196">
        <f t="shared" si="26"/>
        <v>1.0628718709183718E-2</v>
      </c>
    </row>
    <row r="13" spans="1:40" ht="14.25" x14ac:dyDescent="0.2">
      <c r="A13" s="2" t="s">
        <v>8</v>
      </c>
      <c r="B13" s="202">
        <v>92586</v>
      </c>
      <c r="C13" s="84">
        <f t="shared" si="0"/>
        <v>5.5157851278267042E-5</v>
      </c>
      <c r="D13" s="201">
        <v>3773</v>
      </c>
      <c r="E13" s="78">
        <f t="shared" si="1"/>
        <v>8.1079489704215658E-4</v>
      </c>
      <c r="F13" s="35">
        <f t="shared" si="2"/>
        <v>6.8917566248583311E-4</v>
      </c>
      <c r="G13" s="36">
        <v>465.62</v>
      </c>
      <c r="H13" s="78">
        <f t="shared" si="3"/>
        <v>7.2503734809671837E-3</v>
      </c>
      <c r="I13" s="37">
        <f t="shared" si="4"/>
        <v>1.0875560221450776E-3</v>
      </c>
      <c r="J13" s="84">
        <f t="shared" si="5"/>
        <v>1.7767316846309107E-3</v>
      </c>
      <c r="K13" s="38">
        <v>739</v>
      </c>
      <c r="L13" s="39">
        <v>153</v>
      </c>
      <c r="M13" s="39">
        <v>789</v>
      </c>
      <c r="N13" s="39">
        <v>57</v>
      </c>
      <c r="O13" s="40">
        <f t="shared" si="6"/>
        <v>4.3215262297344398E-4</v>
      </c>
      <c r="P13" s="40">
        <f t="shared" si="7"/>
        <v>4.3484192217182224E-4</v>
      </c>
      <c r="Q13" s="40">
        <f t="shared" si="8"/>
        <v>5.9039563241923033E-4</v>
      </c>
      <c r="R13" s="40">
        <f t="shared" si="9"/>
        <v>3.6404976624172905E-4</v>
      </c>
      <c r="S13" s="200">
        <f t="shared" si="10"/>
        <v>1.8214399438062257E-3</v>
      </c>
      <c r="T13" s="199">
        <v>518.99999999744</v>
      </c>
      <c r="U13" s="199">
        <v>104</v>
      </c>
      <c r="V13" s="199">
        <v>89</v>
      </c>
      <c r="W13" s="199">
        <v>41</v>
      </c>
      <c r="X13" s="40">
        <f t="shared" si="11"/>
        <v>4.0817546354690717E-4</v>
      </c>
      <c r="Y13" s="40">
        <f t="shared" si="12"/>
        <v>3.5498757543485978E-4</v>
      </c>
      <c r="Z13" s="40">
        <f t="shared" si="13"/>
        <v>1.8072387017122063E-4</v>
      </c>
      <c r="AA13" s="40">
        <f t="shared" si="14"/>
        <v>7.4675797756083341E-4</v>
      </c>
      <c r="AB13" s="34">
        <f t="shared" si="15"/>
        <v>1.6906448867138209E-3</v>
      </c>
      <c r="AC13" s="198">
        <f t="shared" si="16"/>
        <v>1.4370481537067476E-3</v>
      </c>
      <c r="AD13" s="78">
        <f t="shared" si="17"/>
        <v>-7.1808602604313709E-2</v>
      </c>
      <c r="AE13" s="197">
        <f t="shared" si="18"/>
        <v>-7.1808602604313709E-2</v>
      </c>
      <c r="AF13" s="78">
        <f t="shared" si="19"/>
        <v>1.3380845347842557E-2</v>
      </c>
      <c r="AG13" s="35">
        <f t="shared" si="20"/>
        <v>2.0071268021763836E-3</v>
      </c>
      <c r="AH13" s="84">
        <f t="shared" si="21"/>
        <v>3.4441749558831313E-3</v>
      </c>
      <c r="AJ13" s="47">
        <f t="shared" si="22"/>
        <v>14546.504328360974</v>
      </c>
      <c r="AK13" s="48">
        <f t="shared" si="23"/>
        <v>234284.28176464344</v>
      </c>
      <c r="AL13" s="48">
        <f t="shared" si="24"/>
        <v>454157.52012013935</v>
      </c>
      <c r="AM13" s="48">
        <f t="shared" si="25"/>
        <v>702988.30621314375</v>
      </c>
      <c r="AN13" s="196">
        <f t="shared" si="26"/>
        <v>1.3328055857676439E-3</v>
      </c>
    </row>
    <row r="14" spans="1:40" ht="14.25" x14ac:dyDescent="0.2">
      <c r="A14" s="2" t="s">
        <v>9</v>
      </c>
      <c r="B14" s="202">
        <v>19767687.84</v>
      </c>
      <c r="C14" s="84">
        <f t="shared" si="0"/>
        <v>1.1776544898731211E-2</v>
      </c>
      <c r="D14" s="201">
        <v>86445</v>
      </c>
      <c r="E14" s="78">
        <f t="shared" si="1"/>
        <v>1.8576508050572284E-2</v>
      </c>
      <c r="F14" s="35">
        <f t="shared" si="2"/>
        <v>1.5790031842986441E-2</v>
      </c>
      <c r="G14" s="36">
        <v>1140.97</v>
      </c>
      <c r="H14" s="78">
        <f t="shared" si="3"/>
        <v>1.7766544887631817E-2</v>
      </c>
      <c r="I14" s="37">
        <f t="shared" si="4"/>
        <v>2.6649817331447726E-3</v>
      </c>
      <c r="J14" s="84">
        <f t="shared" si="5"/>
        <v>1.8455013576131211E-2</v>
      </c>
      <c r="K14" s="38">
        <v>6662</v>
      </c>
      <c r="L14" s="39">
        <v>2055</v>
      </c>
      <c r="M14" s="39">
        <v>14558</v>
      </c>
      <c r="N14" s="39">
        <v>683</v>
      </c>
      <c r="O14" s="40">
        <f t="shared" si="6"/>
        <v>3.895806189782251E-3</v>
      </c>
      <c r="P14" s="40">
        <f t="shared" si="7"/>
        <v>5.8405238566215344E-3</v>
      </c>
      <c r="Q14" s="40">
        <f t="shared" si="8"/>
        <v>1.0893510287400703E-2</v>
      </c>
      <c r="R14" s="40">
        <f t="shared" si="9"/>
        <v>4.3622103568965081E-3</v>
      </c>
      <c r="S14" s="200">
        <f t="shared" si="10"/>
        <v>2.4992050690700995E-2</v>
      </c>
      <c r="T14" s="199">
        <v>5056.9999999440479</v>
      </c>
      <c r="U14" s="199">
        <v>1587</v>
      </c>
      <c r="V14" s="199">
        <v>3489</v>
      </c>
      <c r="W14" s="199">
        <v>461</v>
      </c>
      <c r="X14" s="40">
        <f t="shared" si="11"/>
        <v>3.9771547575029919E-3</v>
      </c>
      <c r="Y14" s="40">
        <f t="shared" si="12"/>
        <v>5.4169738674531009E-3</v>
      </c>
      <c r="Z14" s="40">
        <f t="shared" si="13"/>
        <v>7.0847818317684138E-3</v>
      </c>
      <c r="AA14" s="40">
        <f t="shared" si="14"/>
        <v>8.3964738452571765E-3</v>
      </c>
      <c r="AB14" s="34">
        <f t="shared" si="15"/>
        <v>2.4875384301981683E-2</v>
      </c>
      <c r="AC14" s="198">
        <f t="shared" si="16"/>
        <v>2.114407665668443E-2</v>
      </c>
      <c r="AD14" s="78">
        <f t="shared" si="17"/>
        <v>-4.6681398882853836E-3</v>
      </c>
      <c r="AE14" s="197">
        <f t="shared" si="18"/>
        <v>-4.6681398882853836E-3</v>
      </c>
      <c r="AF14" s="78">
        <f t="shared" si="19"/>
        <v>8.6986315903450563E-4</v>
      </c>
      <c r="AG14" s="35">
        <f t="shared" si="20"/>
        <v>1.3047947385517585E-4</v>
      </c>
      <c r="AH14" s="84">
        <f t="shared" si="21"/>
        <v>2.1274556130539607E-2</v>
      </c>
      <c r="AJ14" s="47">
        <f t="shared" si="22"/>
        <v>3105769.3034178885</v>
      </c>
      <c r="AK14" s="48">
        <f t="shared" si="23"/>
        <v>2433524.2276826017</v>
      </c>
      <c r="AL14" s="48">
        <f t="shared" si="24"/>
        <v>2805316.1577632786</v>
      </c>
      <c r="AM14" s="48">
        <f t="shared" si="25"/>
        <v>8344609.6888637692</v>
      </c>
      <c r="AN14" s="196">
        <f t="shared" si="26"/>
        <v>1.582066487603331E-2</v>
      </c>
    </row>
    <row r="15" spans="1:40" ht="14.25" x14ac:dyDescent="0.2">
      <c r="A15" s="2" t="s">
        <v>10</v>
      </c>
      <c r="B15" s="202">
        <v>1733565</v>
      </c>
      <c r="C15" s="84">
        <f t="shared" si="0"/>
        <v>1.0327665138488433E-3</v>
      </c>
      <c r="D15" s="201">
        <v>16092</v>
      </c>
      <c r="E15" s="78">
        <f t="shared" si="1"/>
        <v>3.4580735444480213E-3</v>
      </c>
      <c r="F15" s="35">
        <f t="shared" si="2"/>
        <v>2.9393625127808179E-3</v>
      </c>
      <c r="G15" s="36">
        <v>102.38</v>
      </c>
      <c r="H15" s="78">
        <f t="shared" si="3"/>
        <v>1.5942039366466652E-3</v>
      </c>
      <c r="I15" s="37">
        <f t="shared" si="4"/>
        <v>2.3913059049699976E-4</v>
      </c>
      <c r="J15" s="84">
        <f t="shared" si="5"/>
        <v>3.1784931032778178E-3</v>
      </c>
      <c r="K15" s="38">
        <v>981</v>
      </c>
      <c r="L15" s="39">
        <v>219</v>
      </c>
      <c r="M15" s="39">
        <v>1075</v>
      </c>
      <c r="N15" s="39">
        <v>108</v>
      </c>
      <c r="O15" s="40">
        <f t="shared" si="6"/>
        <v>5.73669449441067E-4</v>
      </c>
      <c r="P15" s="40">
        <f t="shared" si="7"/>
        <v>6.2242079055966715E-4</v>
      </c>
      <c r="Q15" s="40">
        <f t="shared" si="8"/>
        <v>8.0440469562822884E-4</v>
      </c>
      <c r="R15" s="40">
        <f t="shared" si="9"/>
        <v>6.8977850445801295E-4</v>
      </c>
      <c r="S15" s="200">
        <f t="shared" si="10"/>
        <v>2.6902734400869759E-3</v>
      </c>
      <c r="T15" s="199">
        <v>716.99999998365001</v>
      </c>
      <c r="U15" s="199">
        <v>253</v>
      </c>
      <c r="V15" s="199">
        <v>273</v>
      </c>
      <c r="W15" s="199">
        <v>153</v>
      </c>
      <c r="X15" s="40">
        <f t="shared" si="11"/>
        <v>5.6389558257784655E-4</v>
      </c>
      <c r="Y15" s="40">
        <f t="shared" si="12"/>
        <v>8.6357554408672619E-4</v>
      </c>
      <c r="Z15" s="40">
        <f t="shared" si="13"/>
        <v>5.5435524221059812E-4</v>
      </c>
      <c r="AA15" s="40">
        <f t="shared" si="14"/>
        <v>2.786682208946525E-3</v>
      </c>
      <c r="AB15" s="34">
        <f t="shared" si="15"/>
        <v>4.7685085778216962E-3</v>
      </c>
      <c r="AC15" s="198">
        <f t="shared" si="16"/>
        <v>4.0532322911484417E-3</v>
      </c>
      <c r="AD15" s="78">
        <f t="shared" si="17"/>
        <v>0.77249959307762084</v>
      </c>
      <c r="AE15" s="197">
        <f t="shared" si="18"/>
        <v>0</v>
      </c>
      <c r="AF15" s="78">
        <f t="shared" si="19"/>
        <v>0</v>
      </c>
      <c r="AG15" s="35">
        <f t="shared" si="20"/>
        <v>0</v>
      </c>
      <c r="AH15" s="84">
        <f t="shared" si="21"/>
        <v>4.0532322911484417E-3</v>
      </c>
      <c r="AJ15" s="47">
        <f t="shared" si="22"/>
        <v>272366.34886478615</v>
      </c>
      <c r="AK15" s="48">
        <f t="shared" si="23"/>
        <v>419124.0468309712</v>
      </c>
      <c r="AL15" s="48">
        <f t="shared" si="24"/>
        <v>534469.34299156128</v>
      </c>
      <c r="AM15" s="48">
        <f t="shared" si="25"/>
        <v>1225959.7386873187</v>
      </c>
      <c r="AN15" s="196">
        <f t="shared" si="26"/>
        <v>2.3243146055309865E-3</v>
      </c>
    </row>
    <row r="16" spans="1:40" ht="14.25" x14ac:dyDescent="0.2">
      <c r="A16" s="2" t="s">
        <v>11</v>
      </c>
      <c r="B16" s="202">
        <v>1228868.97</v>
      </c>
      <c r="C16" s="84">
        <f t="shared" si="0"/>
        <v>7.3209526157018564E-4</v>
      </c>
      <c r="D16" s="201">
        <v>7855</v>
      </c>
      <c r="E16" s="78">
        <f t="shared" si="1"/>
        <v>1.6879920265746463E-3</v>
      </c>
      <c r="F16" s="35">
        <f t="shared" si="2"/>
        <v>1.4347932225884494E-3</v>
      </c>
      <c r="G16" s="36">
        <v>1006.89</v>
      </c>
      <c r="H16" s="78">
        <f t="shared" si="3"/>
        <v>1.5678726331023254E-2</v>
      </c>
      <c r="I16" s="37">
        <f t="shared" si="4"/>
        <v>2.3518089496534882E-3</v>
      </c>
      <c r="J16" s="84">
        <f t="shared" si="5"/>
        <v>3.7866021722419377E-3</v>
      </c>
      <c r="K16" s="38">
        <v>1343</v>
      </c>
      <c r="L16" s="39">
        <v>344</v>
      </c>
      <c r="M16" s="39">
        <v>1532</v>
      </c>
      <c r="N16" s="39">
        <v>359</v>
      </c>
      <c r="O16" s="40">
        <f t="shared" si="6"/>
        <v>7.85359908867842E-4</v>
      </c>
      <c r="P16" s="40">
        <f t="shared" si="7"/>
        <v>9.7768379886997952E-4</v>
      </c>
      <c r="Q16" s="40">
        <f t="shared" si="8"/>
        <v>1.1463702266999503E-3</v>
      </c>
      <c r="R16" s="40">
        <f t="shared" si="9"/>
        <v>2.2928748435224688E-3</v>
      </c>
      <c r="S16" s="200">
        <f t="shared" si="10"/>
        <v>5.2022887779602407E-3</v>
      </c>
      <c r="T16" s="199">
        <v>655.00000000354908</v>
      </c>
      <c r="U16" s="199">
        <v>319</v>
      </c>
      <c r="V16" s="199">
        <v>345</v>
      </c>
      <c r="W16" s="199">
        <v>110</v>
      </c>
      <c r="X16" s="40">
        <f t="shared" si="11"/>
        <v>5.1513473723697805E-4</v>
      </c>
      <c r="Y16" s="40">
        <f t="shared" si="12"/>
        <v>1.0888561208050025E-3</v>
      </c>
      <c r="Z16" s="40">
        <f t="shared" si="13"/>
        <v>7.0055882257383283E-4</v>
      </c>
      <c r="AA16" s="40">
        <f t="shared" si="14"/>
        <v>2.0034970129680896E-3</v>
      </c>
      <c r="AB16" s="34">
        <f t="shared" si="15"/>
        <v>4.3080466935839033E-3</v>
      </c>
      <c r="AC16" s="198">
        <f t="shared" si="16"/>
        <v>3.6618396895463177E-3</v>
      </c>
      <c r="AD16" s="78">
        <f t="shared" si="17"/>
        <v>-0.17189397254624528</v>
      </c>
      <c r="AE16" s="197">
        <f t="shared" si="18"/>
        <v>-0.17189397254624528</v>
      </c>
      <c r="AF16" s="78">
        <f t="shared" si="19"/>
        <v>3.2030795468082691E-2</v>
      </c>
      <c r="AG16" s="35">
        <f t="shared" si="20"/>
        <v>4.8046193202124039E-3</v>
      </c>
      <c r="AH16" s="84">
        <f t="shared" si="21"/>
        <v>8.4664590097587207E-3</v>
      </c>
      <c r="AJ16" s="47">
        <f t="shared" si="22"/>
        <v>193071.82285759717</v>
      </c>
      <c r="AK16" s="48">
        <f t="shared" si="23"/>
        <v>499310.82893725246</v>
      </c>
      <c r="AL16" s="48">
        <f t="shared" si="24"/>
        <v>1116408.4511743092</v>
      </c>
      <c r="AM16" s="48">
        <f t="shared" si="25"/>
        <v>1808791.1029691589</v>
      </c>
      <c r="AN16" s="196">
        <f t="shared" si="26"/>
        <v>3.4293129262852572E-3</v>
      </c>
    </row>
    <row r="17" spans="1:40" ht="14.25" x14ac:dyDescent="0.2">
      <c r="A17" s="2" t="s">
        <v>12</v>
      </c>
      <c r="B17" s="202">
        <v>1574560</v>
      </c>
      <c r="C17" s="84">
        <f t="shared" si="0"/>
        <v>9.3803972856272176E-4</v>
      </c>
      <c r="D17" s="201">
        <v>10864</v>
      </c>
      <c r="E17" s="78">
        <f t="shared" si="1"/>
        <v>2.3346079410193452E-3</v>
      </c>
      <c r="F17" s="35">
        <f t="shared" si="2"/>
        <v>1.9844167498664434E-3</v>
      </c>
      <c r="G17" s="36">
        <v>4292.05</v>
      </c>
      <c r="H17" s="78">
        <f t="shared" si="3"/>
        <v>6.6833395255756198E-2</v>
      </c>
      <c r="I17" s="37">
        <f t="shared" si="4"/>
        <v>1.002500928836343E-2</v>
      </c>
      <c r="J17" s="84">
        <f t="shared" si="5"/>
        <v>1.2009426038229874E-2</v>
      </c>
      <c r="K17" s="38">
        <v>2046</v>
      </c>
      <c r="L17" s="39">
        <v>494</v>
      </c>
      <c r="M17" s="39">
        <v>4758</v>
      </c>
      <c r="N17" s="39">
        <v>898</v>
      </c>
      <c r="O17" s="40">
        <f t="shared" si="6"/>
        <v>1.1964604419535403E-3</v>
      </c>
      <c r="P17" s="40">
        <f t="shared" si="7"/>
        <v>1.4039994088423542E-3</v>
      </c>
      <c r="Q17" s="40">
        <f t="shared" si="8"/>
        <v>3.5603325970224304E-3</v>
      </c>
      <c r="R17" s="40">
        <f t="shared" si="9"/>
        <v>5.7353805278082927E-3</v>
      </c>
      <c r="S17" s="200">
        <f t="shared" si="10"/>
        <v>1.1896172975626618E-2</v>
      </c>
      <c r="T17" s="199">
        <v>787.99999998764804</v>
      </c>
      <c r="U17" s="199">
        <v>378</v>
      </c>
      <c r="V17" s="199">
        <v>1925</v>
      </c>
      <c r="W17" s="199">
        <v>123</v>
      </c>
      <c r="X17" s="40">
        <f t="shared" si="11"/>
        <v>6.1973461516668131E-4</v>
      </c>
      <c r="Y17" s="40">
        <f t="shared" si="12"/>
        <v>1.2902433030228557E-3</v>
      </c>
      <c r="Z17" s="40">
        <f t="shared" si="13"/>
        <v>3.9089151694337047E-3</v>
      </c>
      <c r="AA17" s="40">
        <f t="shared" si="14"/>
        <v>2.2402739326825003E-3</v>
      </c>
      <c r="AB17" s="34">
        <f t="shared" si="15"/>
        <v>8.0591670203057422E-3</v>
      </c>
      <c r="AC17" s="198">
        <f t="shared" si="16"/>
        <v>6.8502919672598804E-3</v>
      </c>
      <c r="AD17" s="78">
        <f t="shared" si="17"/>
        <v>-0.32254120406472697</v>
      </c>
      <c r="AE17" s="197">
        <f t="shared" si="18"/>
        <v>-0.32254120406472697</v>
      </c>
      <c r="AF17" s="78">
        <f t="shared" si="19"/>
        <v>6.0102464236475396E-2</v>
      </c>
      <c r="AG17" s="35">
        <f t="shared" si="20"/>
        <v>9.0153696354713098E-3</v>
      </c>
      <c r="AH17" s="84">
        <f t="shared" si="21"/>
        <v>1.5865661602731191E-2</v>
      </c>
      <c r="AJ17" s="47">
        <f t="shared" si="22"/>
        <v>247384.52741520377</v>
      </c>
      <c r="AK17" s="48">
        <f t="shared" si="23"/>
        <v>1583592.9409660867</v>
      </c>
      <c r="AL17" s="48">
        <f t="shared" si="24"/>
        <v>2092085.8030901414</v>
      </c>
      <c r="AM17" s="48">
        <f t="shared" si="25"/>
        <v>3923063.2714714319</v>
      </c>
      <c r="AN17" s="196">
        <f t="shared" si="26"/>
        <v>7.4377917745216265E-3</v>
      </c>
    </row>
    <row r="18" spans="1:40" ht="14.25" x14ac:dyDescent="0.2">
      <c r="A18" s="2" t="s">
        <v>13</v>
      </c>
      <c r="B18" s="202">
        <v>6283528</v>
      </c>
      <c r="C18" s="84">
        <f t="shared" si="0"/>
        <v>3.7433942812825564E-3</v>
      </c>
      <c r="D18" s="201">
        <v>24526</v>
      </c>
      <c r="E18" s="78">
        <f t="shared" si="1"/>
        <v>5.2704891717084371E-3</v>
      </c>
      <c r="F18" s="35">
        <f t="shared" si="2"/>
        <v>4.4799157959521715E-3</v>
      </c>
      <c r="G18" s="36">
        <v>146.56</v>
      </c>
      <c r="H18" s="78">
        <f t="shared" si="3"/>
        <v>2.2821501167702212E-3</v>
      </c>
      <c r="I18" s="37">
        <f t="shared" si="4"/>
        <v>3.4232251751553319E-4</v>
      </c>
      <c r="J18" s="84">
        <f t="shared" si="5"/>
        <v>4.8222383134677044E-3</v>
      </c>
      <c r="K18" s="38">
        <v>1162</v>
      </c>
      <c r="L18" s="39">
        <v>349</v>
      </c>
      <c r="M18" s="39">
        <v>489</v>
      </c>
      <c r="N18" s="39">
        <v>43</v>
      </c>
      <c r="O18" s="40">
        <f t="shared" si="6"/>
        <v>6.7951467915445456E-4</v>
      </c>
      <c r="P18" s="40">
        <f t="shared" si="7"/>
        <v>9.9189431920239184E-4</v>
      </c>
      <c r="Q18" s="40">
        <f t="shared" si="8"/>
        <v>3.6591060108111993E-4</v>
      </c>
      <c r="R18" s="40">
        <f t="shared" si="9"/>
        <v>2.7463403418235698E-4</v>
      </c>
      <c r="S18" s="200">
        <f t="shared" si="10"/>
        <v>2.3119536336203231E-3</v>
      </c>
      <c r="T18" s="199">
        <v>2032.9999999577099</v>
      </c>
      <c r="U18" s="199">
        <v>358</v>
      </c>
      <c r="V18" s="199">
        <v>131</v>
      </c>
      <c r="W18" s="199">
        <v>31</v>
      </c>
      <c r="X18" s="40">
        <f t="shared" si="11"/>
        <v>1.5988838485119338E-3</v>
      </c>
      <c r="Y18" s="40">
        <f t="shared" si="12"/>
        <v>1.221976461593075E-3</v>
      </c>
      <c r="Z18" s="40">
        <f t="shared" si="13"/>
        <v>2.6600929204977422E-4</v>
      </c>
      <c r="AA18" s="40">
        <f t="shared" si="14"/>
        <v>5.6462188547282534E-4</v>
      </c>
      <c r="AB18" s="34">
        <f t="shared" si="15"/>
        <v>3.6514914876276086E-3</v>
      </c>
      <c r="AC18" s="198">
        <f t="shared" si="16"/>
        <v>3.1037677644834673E-3</v>
      </c>
      <c r="AD18" s="78">
        <f t="shared" si="17"/>
        <v>0.57939650455259473</v>
      </c>
      <c r="AE18" s="197">
        <f t="shared" si="18"/>
        <v>0</v>
      </c>
      <c r="AF18" s="78">
        <f t="shared" si="19"/>
        <v>0</v>
      </c>
      <c r="AG18" s="35">
        <f t="shared" si="20"/>
        <v>0</v>
      </c>
      <c r="AH18" s="84">
        <f t="shared" si="21"/>
        <v>3.1037677644834673E-3</v>
      </c>
      <c r="AJ18" s="47">
        <f t="shared" si="22"/>
        <v>987226.65683124203</v>
      </c>
      <c r="AK18" s="48">
        <f t="shared" si="23"/>
        <v>635872.39960963512</v>
      </c>
      <c r="AL18" s="48">
        <f t="shared" si="24"/>
        <v>409270.57684420119</v>
      </c>
      <c r="AM18" s="48">
        <f t="shared" si="25"/>
        <v>2032369.6332850785</v>
      </c>
      <c r="AN18" s="196">
        <f t="shared" si="26"/>
        <v>3.8531986601290707E-3</v>
      </c>
    </row>
    <row r="19" spans="1:40" ht="14.25" x14ac:dyDescent="0.2">
      <c r="A19" s="2" t="s">
        <v>14</v>
      </c>
      <c r="B19" s="202">
        <v>2012114.4</v>
      </c>
      <c r="C19" s="84">
        <f t="shared" si="0"/>
        <v>1.1987115420264351E-3</v>
      </c>
      <c r="D19" s="201">
        <v>35445</v>
      </c>
      <c r="E19" s="78">
        <f t="shared" si="1"/>
        <v>7.6169162803231489E-3</v>
      </c>
      <c r="F19" s="35">
        <f t="shared" si="2"/>
        <v>6.4743788382746765E-3</v>
      </c>
      <c r="G19" s="36">
        <v>5091.18</v>
      </c>
      <c r="H19" s="78">
        <f t="shared" si="3"/>
        <v>7.9276999396139566E-2</v>
      </c>
      <c r="I19" s="37">
        <f t="shared" si="4"/>
        <v>1.1891549909420934E-2</v>
      </c>
      <c r="J19" s="84">
        <f t="shared" si="5"/>
        <v>1.836592874769561E-2</v>
      </c>
      <c r="K19" s="38">
        <v>7369</v>
      </c>
      <c r="L19" s="39">
        <v>3474</v>
      </c>
      <c r="M19" s="39">
        <v>27910</v>
      </c>
      <c r="N19" s="39">
        <v>2988</v>
      </c>
      <c r="O19" s="40">
        <f t="shared" si="6"/>
        <v>4.3092458439665882E-3</v>
      </c>
      <c r="P19" s="40">
        <f t="shared" si="7"/>
        <v>9.8734695269601987E-3</v>
      </c>
      <c r="Q19" s="40">
        <f t="shared" si="8"/>
        <v>2.08845907488222E-2</v>
      </c>
      <c r="R19" s="40">
        <f t="shared" si="9"/>
        <v>1.9083871956671692E-2</v>
      </c>
      <c r="S19" s="200">
        <f t="shared" si="10"/>
        <v>5.4151178076420683E-2</v>
      </c>
      <c r="T19" s="199">
        <v>7387.0000000238397</v>
      </c>
      <c r="U19" s="199">
        <v>3170</v>
      </c>
      <c r="V19" s="199">
        <v>23798</v>
      </c>
      <c r="W19" s="199">
        <v>1385</v>
      </c>
      <c r="X19" s="40">
        <f t="shared" si="11"/>
        <v>5.8096187846736159E-3</v>
      </c>
      <c r="Y19" s="40">
        <f t="shared" si="12"/>
        <v>1.0820294366620246E-2</v>
      </c>
      <c r="Z19" s="40">
        <f t="shared" si="13"/>
        <v>4.8324344520614702E-2</v>
      </c>
      <c r="AA19" s="40">
        <f t="shared" si="14"/>
        <v>2.522584875418913E-2</v>
      </c>
      <c r="AB19" s="34">
        <f t="shared" si="15"/>
        <v>9.0180106426097695E-2</v>
      </c>
      <c r="AC19" s="198">
        <f t="shared" si="16"/>
        <v>7.6653090462183035E-2</v>
      </c>
      <c r="AD19" s="78">
        <f t="shared" si="17"/>
        <v>0.66533969582030694</v>
      </c>
      <c r="AE19" s="197">
        <f t="shared" si="18"/>
        <v>0</v>
      </c>
      <c r="AF19" s="78">
        <f t="shared" si="19"/>
        <v>0</v>
      </c>
      <c r="AG19" s="35">
        <f t="shared" si="20"/>
        <v>0</v>
      </c>
      <c r="AH19" s="84">
        <f t="shared" si="21"/>
        <v>7.6653090462183035E-2</v>
      </c>
      <c r="AJ19" s="47">
        <f t="shared" si="22"/>
        <v>316130.20142092154</v>
      </c>
      <c r="AK19" s="48">
        <f t="shared" si="23"/>
        <v>2421777.279493012</v>
      </c>
      <c r="AL19" s="48">
        <f t="shared" si="24"/>
        <v>10107668.14106961</v>
      </c>
      <c r="AM19" s="48">
        <f t="shared" si="25"/>
        <v>12845575.621983543</v>
      </c>
      <c r="AN19" s="196">
        <f t="shared" si="26"/>
        <v>2.4354110573482877E-2</v>
      </c>
    </row>
    <row r="20" spans="1:40" ht="14.25" x14ac:dyDescent="0.2">
      <c r="A20" s="2" t="s">
        <v>15</v>
      </c>
      <c r="B20" s="202">
        <v>76799</v>
      </c>
      <c r="C20" s="84">
        <f t="shared" si="0"/>
        <v>4.5752790058104149E-5</v>
      </c>
      <c r="D20" s="201">
        <v>1716</v>
      </c>
      <c r="E20" s="78">
        <f t="shared" si="1"/>
        <v>3.6875802897544147E-4</v>
      </c>
      <c r="F20" s="35">
        <f t="shared" si="2"/>
        <v>3.1344432462912525E-4</v>
      </c>
      <c r="G20" s="36">
        <v>720.74</v>
      </c>
      <c r="H20" s="78">
        <f t="shared" si="3"/>
        <v>1.1222959028117967E-2</v>
      </c>
      <c r="I20" s="37">
        <f t="shared" si="4"/>
        <v>1.683443854217695E-3</v>
      </c>
      <c r="J20" s="84">
        <f t="shared" si="5"/>
        <v>1.9968881788468202E-3</v>
      </c>
      <c r="K20" s="38">
        <v>381</v>
      </c>
      <c r="L20" s="39">
        <v>111</v>
      </c>
      <c r="M20" s="39">
        <v>881</v>
      </c>
      <c r="N20" s="39">
        <v>100</v>
      </c>
      <c r="O20" s="40">
        <f t="shared" si="6"/>
        <v>2.2280128464530736E-4</v>
      </c>
      <c r="P20" s="40">
        <f t="shared" si="7"/>
        <v>3.1547355137955733E-4</v>
      </c>
      <c r="Q20" s="40">
        <f t="shared" si="8"/>
        <v>6.5923770869625079E-4</v>
      </c>
      <c r="R20" s="40">
        <f t="shared" si="9"/>
        <v>6.3868380042408609E-4</v>
      </c>
      <c r="S20" s="200">
        <f t="shared" si="10"/>
        <v>1.8361963451452015E-3</v>
      </c>
      <c r="T20" s="199">
        <v>157.99999999728001</v>
      </c>
      <c r="U20" s="199">
        <v>83</v>
      </c>
      <c r="V20" s="199">
        <v>189</v>
      </c>
      <c r="W20" s="199">
        <v>25</v>
      </c>
      <c r="X20" s="40">
        <f t="shared" si="11"/>
        <v>1.2426150913221427E-4</v>
      </c>
      <c r="Y20" s="40">
        <f t="shared" si="12"/>
        <v>2.8330739193359002E-4</v>
      </c>
      <c r="Z20" s="40">
        <f t="shared" si="13"/>
        <v>3.8378439845349104E-4</v>
      </c>
      <c r="AA20" s="40">
        <f t="shared" si="14"/>
        <v>4.5534023022002039E-4</v>
      </c>
      <c r="AB20" s="34">
        <f t="shared" si="15"/>
        <v>1.2466935297393157E-3</v>
      </c>
      <c r="AC20" s="198">
        <f t="shared" si="16"/>
        <v>1.0596895002784182E-3</v>
      </c>
      <c r="AD20" s="78">
        <f t="shared" si="17"/>
        <v>-0.32104563162022282</v>
      </c>
      <c r="AE20" s="197">
        <f t="shared" si="18"/>
        <v>-0.32104563162022282</v>
      </c>
      <c r="AF20" s="78">
        <f t="shared" si="19"/>
        <v>5.982377863529921E-2</v>
      </c>
      <c r="AG20" s="35">
        <f t="shared" si="20"/>
        <v>8.9735667952948808E-3</v>
      </c>
      <c r="AH20" s="84">
        <f t="shared" si="21"/>
        <v>1.0033256295573299E-2</v>
      </c>
      <c r="AJ20" s="47">
        <f t="shared" si="22"/>
        <v>12066.154558073515</v>
      </c>
      <c r="AK20" s="48">
        <f t="shared" si="23"/>
        <v>263314.66748318879</v>
      </c>
      <c r="AL20" s="48">
        <f t="shared" si="24"/>
        <v>1323010.2582750341</v>
      </c>
      <c r="AM20" s="48">
        <f t="shared" si="25"/>
        <v>1598391.0803162963</v>
      </c>
      <c r="AN20" s="196">
        <f t="shared" si="26"/>
        <v>3.0304125136340816E-3</v>
      </c>
    </row>
    <row r="21" spans="1:40" ht="14.25" x14ac:dyDescent="0.2">
      <c r="A21" s="2" t="s">
        <v>16</v>
      </c>
      <c r="B21" s="202">
        <v>179058</v>
      </c>
      <c r="C21" s="84">
        <f t="shared" si="0"/>
        <v>1.0667330410843907E-4</v>
      </c>
      <c r="D21" s="201">
        <v>3345</v>
      </c>
      <c r="E21" s="78">
        <f t="shared" si="1"/>
        <v>7.1882028375457561E-4</v>
      </c>
      <c r="F21" s="35">
        <f t="shared" si="2"/>
        <v>6.1099724119138929E-4</v>
      </c>
      <c r="G21" s="36">
        <v>615.78</v>
      </c>
      <c r="H21" s="78">
        <f t="shared" si="3"/>
        <v>9.5885807785532663E-3</v>
      </c>
      <c r="I21" s="37">
        <f t="shared" si="4"/>
        <v>1.4382871167829899E-3</v>
      </c>
      <c r="J21" s="84">
        <f t="shared" si="5"/>
        <v>2.049284357974379E-3</v>
      </c>
      <c r="K21" s="38">
        <v>519</v>
      </c>
      <c r="L21" s="39">
        <v>176</v>
      </c>
      <c r="M21" s="39">
        <v>1034</v>
      </c>
      <c r="N21" s="39">
        <v>145</v>
      </c>
      <c r="O21" s="40">
        <f t="shared" si="6"/>
        <v>3.0350096254833211E-4</v>
      </c>
      <c r="P21" s="40">
        <f t="shared" si="7"/>
        <v>5.0021031570091968E-4</v>
      </c>
      <c r="Q21" s="40">
        <f t="shared" si="8"/>
        <v>7.7372507467868713E-4</v>
      </c>
      <c r="R21" s="40">
        <f t="shared" si="9"/>
        <v>9.2609151061492478E-4</v>
      </c>
      <c r="S21" s="200">
        <f t="shared" si="10"/>
        <v>2.5035278635428637E-3</v>
      </c>
      <c r="T21" s="199">
        <v>277.00000000287605</v>
      </c>
      <c r="U21" s="199">
        <v>136</v>
      </c>
      <c r="V21" s="199">
        <v>317</v>
      </c>
      <c r="W21" s="199">
        <v>84</v>
      </c>
      <c r="X21" s="40">
        <f t="shared" si="11"/>
        <v>2.1785087361122336E-4</v>
      </c>
      <c r="Y21" s="40">
        <f t="shared" si="12"/>
        <v>4.6421452172250896E-4</v>
      </c>
      <c r="Z21" s="40">
        <f t="shared" si="13"/>
        <v>6.4370187465479715E-4</v>
      </c>
      <c r="AA21" s="40">
        <f t="shared" si="14"/>
        <v>1.5299431735392686E-3</v>
      </c>
      <c r="AB21" s="34">
        <f t="shared" si="15"/>
        <v>2.8557104435277978E-3</v>
      </c>
      <c r="AC21" s="198">
        <f t="shared" si="16"/>
        <v>2.4273538769986279E-3</v>
      </c>
      <c r="AD21" s="78">
        <f t="shared" si="17"/>
        <v>0.14067451979006276</v>
      </c>
      <c r="AE21" s="197">
        <f t="shared" si="18"/>
        <v>0</v>
      </c>
      <c r="AF21" s="78">
        <f t="shared" si="19"/>
        <v>0</v>
      </c>
      <c r="AG21" s="35">
        <f t="shared" si="20"/>
        <v>0</v>
      </c>
      <c r="AH21" s="84">
        <f t="shared" si="21"/>
        <v>2.4273538769986279E-3</v>
      </c>
      <c r="AJ21" s="47">
        <f t="shared" si="22"/>
        <v>28132.41712599809</v>
      </c>
      <c r="AK21" s="48">
        <f t="shared" si="23"/>
        <v>270223.75865339651</v>
      </c>
      <c r="AL21" s="48">
        <f t="shared" si="24"/>
        <v>320076.95060573152</v>
      </c>
      <c r="AM21" s="48">
        <f t="shared" si="25"/>
        <v>618433.12638512603</v>
      </c>
      <c r="AN21" s="196">
        <f t="shared" si="26"/>
        <v>1.1724962107974709E-3</v>
      </c>
    </row>
    <row r="22" spans="1:40" ht="14.25" x14ac:dyDescent="0.2">
      <c r="A22" s="2" t="s">
        <v>17</v>
      </c>
      <c r="B22" s="202">
        <v>1051411.95</v>
      </c>
      <c r="C22" s="84">
        <f t="shared" si="0"/>
        <v>6.2637573683162401E-4</v>
      </c>
      <c r="D22" s="201">
        <v>39991</v>
      </c>
      <c r="E22" s="78">
        <f t="shared" si="1"/>
        <v>8.5938242055692785E-3</v>
      </c>
      <c r="F22" s="35">
        <f t="shared" si="2"/>
        <v>7.3047505747338868E-3</v>
      </c>
      <c r="G22" s="36">
        <v>7010.79</v>
      </c>
      <c r="H22" s="78">
        <f t="shared" si="3"/>
        <v>0.1091680896366778</v>
      </c>
      <c r="I22" s="37">
        <f t="shared" si="4"/>
        <v>1.637521344550167E-2</v>
      </c>
      <c r="J22" s="84">
        <f t="shared" si="5"/>
        <v>2.3679964020235558E-2</v>
      </c>
      <c r="K22" s="38">
        <v>6824</v>
      </c>
      <c r="L22" s="39">
        <v>2866</v>
      </c>
      <c r="M22" s="39">
        <v>26645</v>
      </c>
      <c r="N22" s="39">
        <v>2369</v>
      </c>
      <c r="O22" s="40">
        <f t="shared" si="6"/>
        <v>3.9905405942771066E-3</v>
      </c>
      <c r="P22" s="40">
        <f t="shared" si="7"/>
        <v>8.1454702545388398E-3</v>
      </c>
      <c r="Q22" s="40">
        <f t="shared" si="8"/>
        <v>1.9938012200013171E-2</v>
      </c>
      <c r="R22" s="40">
        <f t="shared" si="9"/>
        <v>1.5130419232046598E-2</v>
      </c>
      <c r="S22" s="200">
        <f t="shared" si="10"/>
        <v>4.7204442280875711E-2</v>
      </c>
      <c r="T22" s="199">
        <v>7532.9999999958</v>
      </c>
      <c r="U22" s="199">
        <v>2466</v>
      </c>
      <c r="V22" s="199">
        <v>13627</v>
      </c>
      <c r="W22" s="199">
        <v>715</v>
      </c>
      <c r="X22" s="40">
        <f t="shared" si="11"/>
        <v>5.9244427108136877E-3</v>
      </c>
      <c r="Y22" s="40">
        <f t="shared" si="12"/>
        <v>8.4173015482919642E-3</v>
      </c>
      <c r="Z22" s="40">
        <f t="shared" si="13"/>
        <v>2.7671058189024985E-2</v>
      </c>
      <c r="AA22" s="40">
        <f t="shared" si="14"/>
        <v>1.3022730584292583E-2</v>
      </c>
      <c r="AB22" s="34">
        <f t="shared" si="15"/>
        <v>5.5035533032423221E-2</v>
      </c>
      <c r="AC22" s="198">
        <f t="shared" si="16"/>
        <v>4.6780203077559736E-2</v>
      </c>
      <c r="AD22" s="78">
        <f t="shared" si="17"/>
        <v>0.16589732603874402</v>
      </c>
      <c r="AE22" s="197">
        <f t="shared" si="18"/>
        <v>0</v>
      </c>
      <c r="AF22" s="78">
        <f t="shared" si="19"/>
        <v>0</v>
      </c>
      <c r="AG22" s="35">
        <f t="shared" si="20"/>
        <v>0</v>
      </c>
      <c r="AH22" s="84">
        <f t="shared" si="21"/>
        <v>4.6780203077559736E-2</v>
      </c>
      <c r="AJ22" s="47">
        <f t="shared" si="22"/>
        <v>165190.94119592002</v>
      </c>
      <c r="AK22" s="48">
        <f t="shared" si="23"/>
        <v>3122499.255618311</v>
      </c>
      <c r="AL22" s="48">
        <f t="shared" si="24"/>
        <v>6168554.5283147199</v>
      </c>
      <c r="AM22" s="48">
        <f t="shared" si="25"/>
        <v>9456244.7251289506</v>
      </c>
      <c r="AN22" s="196">
        <f t="shared" si="26"/>
        <v>1.7928229642864633E-2</v>
      </c>
    </row>
    <row r="23" spans="1:40" ht="14.25" x14ac:dyDescent="0.2">
      <c r="A23" s="2" t="s">
        <v>18</v>
      </c>
      <c r="B23" s="202">
        <v>14320564.58</v>
      </c>
      <c r="C23" s="84">
        <f t="shared" si="0"/>
        <v>8.5314364085764451E-3</v>
      </c>
      <c r="D23" s="201">
        <v>143668</v>
      </c>
      <c r="E23" s="78">
        <f t="shared" si="1"/>
        <v>3.0873384910748092E-2</v>
      </c>
      <c r="F23" s="35">
        <f t="shared" si="2"/>
        <v>2.6242377174135877E-2</v>
      </c>
      <c r="G23" s="36">
        <v>1040.01</v>
      </c>
      <c r="H23" s="78">
        <f t="shared" si="3"/>
        <v>1.6194452394529189E-2</v>
      </c>
      <c r="I23" s="37">
        <f t="shared" si="4"/>
        <v>2.4291678591793781E-3</v>
      </c>
      <c r="J23" s="84">
        <f t="shared" si="5"/>
        <v>2.8671545033315253E-2</v>
      </c>
      <c r="K23" s="38">
        <v>3671</v>
      </c>
      <c r="L23" s="39">
        <v>1263</v>
      </c>
      <c r="M23" s="39">
        <v>9334</v>
      </c>
      <c r="N23" s="39">
        <v>932</v>
      </c>
      <c r="O23" s="40">
        <f t="shared" si="6"/>
        <v>2.1467283882753894E-3</v>
      </c>
      <c r="P23" s="40">
        <f t="shared" si="7"/>
        <v>3.5895774359673955E-3</v>
      </c>
      <c r="Q23" s="40">
        <f t="shared" si="8"/>
        <v>6.9844776083664078E-3</v>
      </c>
      <c r="R23" s="40">
        <f t="shared" si="9"/>
        <v>5.9525330199524818E-3</v>
      </c>
      <c r="S23" s="200">
        <f t="shared" si="10"/>
        <v>1.8673316452561674E-2</v>
      </c>
      <c r="T23" s="199">
        <v>8688.9999999445354</v>
      </c>
      <c r="U23" s="199">
        <v>1809</v>
      </c>
      <c r="V23" s="199">
        <v>2369</v>
      </c>
      <c r="W23" s="199">
        <v>783</v>
      </c>
      <c r="X23" s="40">
        <f t="shared" si="11"/>
        <v>6.8335965370981333E-3</v>
      </c>
      <c r="Y23" s="40">
        <f t="shared" si="12"/>
        <v>6.1747358073236669E-3</v>
      </c>
      <c r="Z23" s="40">
        <f t="shared" si="13"/>
        <v>4.8105039150069849E-3</v>
      </c>
      <c r="AA23" s="40">
        <f t="shared" si="14"/>
        <v>1.4261256010491039E-2</v>
      </c>
      <c r="AB23" s="34">
        <f t="shared" si="15"/>
        <v>3.2080092269919827E-2</v>
      </c>
      <c r="AC23" s="198">
        <f t="shared" si="16"/>
        <v>2.7268078429431852E-2</v>
      </c>
      <c r="AD23" s="78">
        <f t="shared" si="17"/>
        <v>0.71796436650217865</v>
      </c>
      <c r="AE23" s="197">
        <f t="shared" si="18"/>
        <v>0</v>
      </c>
      <c r="AF23" s="78">
        <f t="shared" si="19"/>
        <v>0</v>
      </c>
      <c r="AG23" s="35">
        <f t="shared" si="20"/>
        <v>0</v>
      </c>
      <c r="AH23" s="84">
        <f t="shared" si="21"/>
        <v>2.7268078429431852E-2</v>
      </c>
      <c r="AJ23" s="47">
        <f t="shared" si="22"/>
        <v>2249953.0668518227</v>
      </c>
      <c r="AK23" s="48">
        <f t="shared" si="23"/>
        <v>3780701.606955532</v>
      </c>
      <c r="AL23" s="48">
        <f t="shared" si="24"/>
        <v>3595636.9919009572</v>
      </c>
      <c r="AM23" s="48">
        <f t="shared" si="25"/>
        <v>9626291.6657083109</v>
      </c>
      <c r="AN23" s="196">
        <f t="shared" si="26"/>
        <v>1.8250624069974995E-2</v>
      </c>
    </row>
    <row r="24" spans="1:40" ht="14.25" x14ac:dyDescent="0.2">
      <c r="A24" s="2" t="s">
        <v>19</v>
      </c>
      <c r="B24" s="202">
        <v>767957.79</v>
      </c>
      <c r="C24" s="84">
        <f t="shared" si="0"/>
        <v>4.5750871156337498E-4</v>
      </c>
      <c r="D24" s="201">
        <v>5527</v>
      </c>
      <c r="E24" s="78">
        <f t="shared" si="1"/>
        <v>1.1877188963562151E-3</v>
      </c>
      <c r="F24" s="35">
        <f t="shared" si="2"/>
        <v>1.0095610619027828E-3</v>
      </c>
      <c r="G24" s="36">
        <v>1894.8</v>
      </c>
      <c r="H24" s="78">
        <f t="shared" si="3"/>
        <v>2.9504762836082252E-2</v>
      </c>
      <c r="I24" s="37">
        <f t="shared" si="4"/>
        <v>4.425714425412338E-3</v>
      </c>
      <c r="J24" s="84">
        <f t="shared" si="5"/>
        <v>5.4352754873151204E-3</v>
      </c>
      <c r="K24" s="38">
        <v>814</v>
      </c>
      <c r="L24" s="39">
        <v>270</v>
      </c>
      <c r="M24" s="39">
        <v>1738</v>
      </c>
      <c r="N24" s="39">
        <v>531</v>
      </c>
      <c r="O24" s="40">
        <f t="shared" si="6"/>
        <v>4.760111435729139E-4</v>
      </c>
      <c r="P24" s="40">
        <f t="shared" si="7"/>
        <v>7.6736809795027456E-4</v>
      </c>
      <c r="Q24" s="40">
        <f t="shared" si="8"/>
        <v>1.3005166148854527E-3</v>
      </c>
      <c r="R24" s="40">
        <f t="shared" si="9"/>
        <v>3.3914109802518971E-3</v>
      </c>
      <c r="S24" s="200">
        <f t="shared" si="10"/>
        <v>5.9353068366605382E-3</v>
      </c>
      <c r="T24" s="199">
        <v>320.00000000721394</v>
      </c>
      <c r="U24" s="199">
        <v>216</v>
      </c>
      <c r="V24" s="199">
        <v>671</v>
      </c>
      <c r="W24" s="199">
        <v>199</v>
      </c>
      <c r="X24" s="40">
        <f t="shared" si="11"/>
        <v>2.5166887926512352E-4</v>
      </c>
      <c r="Y24" s="40">
        <f t="shared" si="12"/>
        <v>7.372818874416319E-4</v>
      </c>
      <c r="Z24" s="40">
        <f t="shared" si="13"/>
        <v>1.3625361447740343E-3</v>
      </c>
      <c r="AA24" s="40">
        <f t="shared" si="14"/>
        <v>3.6245082325513625E-3</v>
      </c>
      <c r="AB24" s="34">
        <f t="shared" si="15"/>
        <v>5.9759951440321521E-3</v>
      </c>
      <c r="AC24" s="198">
        <f t="shared" si="16"/>
        <v>5.0795958724273293E-3</v>
      </c>
      <c r="AD24" s="78">
        <f t="shared" si="17"/>
        <v>6.8552997328284624E-3</v>
      </c>
      <c r="AE24" s="197">
        <f t="shared" si="18"/>
        <v>0</v>
      </c>
      <c r="AF24" s="78">
        <f t="shared" si="19"/>
        <v>0</v>
      </c>
      <c r="AG24" s="35">
        <f t="shared" si="20"/>
        <v>0</v>
      </c>
      <c r="AH24" s="84">
        <f t="shared" si="21"/>
        <v>5.0795958724273293E-3</v>
      </c>
      <c r="AJ24" s="47">
        <f t="shared" si="22"/>
        <v>120656.48495705106</v>
      </c>
      <c r="AK24" s="48">
        <f t="shared" si="23"/>
        <v>716709.01394609001</v>
      </c>
      <c r="AL24" s="48">
        <f t="shared" si="24"/>
        <v>669808.21072794858</v>
      </c>
      <c r="AM24" s="48">
        <f t="shared" si="25"/>
        <v>1507173.7096310896</v>
      </c>
      <c r="AN24" s="196">
        <f t="shared" si="26"/>
        <v>2.8574721957172994E-3</v>
      </c>
    </row>
    <row r="25" spans="1:40" ht="14.25" x14ac:dyDescent="0.2">
      <c r="A25" s="2" t="s">
        <v>20</v>
      </c>
      <c r="B25" s="202">
        <v>58304044.220000014</v>
      </c>
      <c r="C25" s="84">
        <f t="shared" si="0"/>
        <v>3.4734471734476767E-2</v>
      </c>
      <c r="D25" s="201">
        <v>357937</v>
      </c>
      <c r="E25" s="78">
        <f t="shared" si="1"/>
        <v>7.6918498028777746E-2</v>
      </c>
      <c r="F25" s="35">
        <f t="shared" si="2"/>
        <v>6.5380723324461085E-2</v>
      </c>
      <c r="G25" s="36">
        <v>151.27000000000001</v>
      </c>
      <c r="H25" s="78">
        <f t="shared" si="3"/>
        <v>2.3554915950043079E-3</v>
      </c>
      <c r="I25" s="37">
        <f t="shared" si="4"/>
        <v>3.5332373925064616E-4</v>
      </c>
      <c r="J25" s="84">
        <f t="shared" si="5"/>
        <v>6.5734047063711734E-2</v>
      </c>
      <c r="K25" s="38">
        <v>25525</v>
      </c>
      <c r="L25" s="39">
        <v>4815</v>
      </c>
      <c r="M25" s="39">
        <v>33044</v>
      </c>
      <c r="N25" s="39">
        <v>5258</v>
      </c>
      <c r="O25" s="40">
        <f t="shared" si="6"/>
        <v>1.4926516510686275E-2</v>
      </c>
      <c r="P25" s="40">
        <f t="shared" si="7"/>
        <v>1.3684731080113229E-2</v>
      </c>
      <c r="Q25" s="40">
        <f t="shared" si="8"/>
        <v>2.4726277918455063E-2</v>
      </c>
      <c r="R25" s="40">
        <f t="shared" si="9"/>
        <v>3.3581994226298442E-2</v>
      </c>
      <c r="S25" s="200">
        <f t="shared" si="10"/>
        <v>8.6919519735553008E-2</v>
      </c>
      <c r="T25" s="199">
        <v>20136.00000070727</v>
      </c>
      <c r="U25" s="199">
        <v>4791</v>
      </c>
      <c r="V25" s="199">
        <v>5994</v>
      </c>
      <c r="W25" s="199">
        <v>875</v>
      </c>
      <c r="X25" s="40">
        <f t="shared" si="11"/>
        <v>1.5836264227957138E-2</v>
      </c>
      <c r="Y25" s="40">
        <f t="shared" si="12"/>
        <v>1.6353321864503972E-2</v>
      </c>
      <c r="Z25" s="40">
        <f t="shared" si="13"/>
        <v>1.2171448065239286E-2</v>
      </c>
      <c r="AA25" s="40">
        <f t="shared" si="14"/>
        <v>1.5936908057700715E-2</v>
      </c>
      <c r="AB25" s="34">
        <f t="shared" si="15"/>
        <v>6.0297942215401121E-2</v>
      </c>
      <c r="AC25" s="198">
        <f t="shared" si="16"/>
        <v>5.1253250883090955E-2</v>
      </c>
      <c r="AD25" s="78">
        <f t="shared" si="17"/>
        <v>-0.30627847002774872</v>
      </c>
      <c r="AE25" s="197">
        <f t="shared" si="18"/>
        <v>-0.30627847002774872</v>
      </c>
      <c r="AF25" s="78">
        <f t="shared" si="19"/>
        <v>5.7072059505151061E-2</v>
      </c>
      <c r="AG25" s="35">
        <f t="shared" si="20"/>
        <v>8.5608089257726595E-3</v>
      </c>
      <c r="AH25" s="84">
        <f t="shared" si="21"/>
        <v>5.9814059808863618E-2</v>
      </c>
      <c r="AJ25" s="47">
        <f t="shared" si="22"/>
        <v>9160348.5581748839</v>
      </c>
      <c r="AK25" s="48">
        <f t="shared" si="23"/>
        <v>8667855.7809386868</v>
      </c>
      <c r="AL25" s="48">
        <f t="shared" si="24"/>
        <v>7887231.4615462776</v>
      </c>
      <c r="AM25" s="48">
        <f t="shared" si="25"/>
        <v>25715435.80065985</v>
      </c>
      <c r="AN25" s="196">
        <f t="shared" si="26"/>
        <v>4.8754262585382215E-2</v>
      </c>
    </row>
    <row r="26" spans="1:40" ht="14.25" x14ac:dyDescent="0.2">
      <c r="A26" s="2" t="s">
        <v>21</v>
      </c>
      <c r="B26" s="202">
        <v>1155386.99</v>
      </c>
      <c r="C26" s="84">
        <f t="shared" si="0"/>
        <v>6.8831857692593491E-4</v>
      </c>
      <c r="D26" s="201">
        <v>14437</v>
      </c>
      <c r="E26" s="78">
        <f t="shared" si="1"/>
        <v>3.1024240468056226E-3</v>
      </c>
      <c r="F26" s="35">
        <f t="shared" si="2"/>
        <v>2.637060439784779E-3</v>
      </c>
      <c r="G26" s="36">
        <v>2479.16</v>
      </c>
      <c r="H26" s="78">
        <f t="shared" si="3"/>
        <v>3.8604088997625963E-2</v>
      </c>
      <c r="I26" s="37">
        <f t="shared" si="4"/>
        <v>5.7906133496438946E-3</v>
      </c>
      <c r="J26" s="84">
        <f t="shared" si="5"/>
        <v>8.4276737894286736E-3</v>
      </c>
      <c r="K26" s="38">
        <v>3166</v>
      </c>
      <c r="L26" s="39">
        <v>724</v>
      </c>
      <c r="M26" s="39">
        <v>6502</v>
      </c>
      <c r="N26" s="39">
        <v>971</v>
      </c>
      <c r="O26" s="40">
        <f t="shared" si="6"/>
        <v>1.8514143495722917E-3</v>
      </c>
      <c r="P26" s="40">
        <f t="shared" si="7"/>
        <v>2.0576833441333289E-3</v>
      </c>
      <c r="Q26" s="40">
        <f t="shared" si="8"/>
        <v>4.8653389125346454E-3</v>
      </c>
      <c r="R26" s="40">
        <f t="shared" si="9"/>
        <v>6.2016197021178754E-3</v>
      </c>
      <c r="S26" s="200">
        <f t="shared" si="10"/>
        <v>1.4976056308358143E-2</v>
      </c>
      <c r="T26" s="199">
        <v>1684.0000000044001</v>
      </c>
      <c r="U26" s="199">
        <v>572</v>
      </c>
      <c r="V26" s="199">
        <v>3480</v>
      </c>
      <c r="W26" s="199">
        <v>459</v>
      </c>
      <c r="X26" s="40">
        <f t="shared" si="11"/>
        <v>1.3244074771063164E-3</v>
      </c>
      <c r="Y26" s="40">
        <f t="shared" si="12"/>
        <v>1.9524316648917288E-3</v>
      </c>
      <c r="Z26" s="40">
        <f t="shared" si="13"/>
        <v>7.0665063842230095E-3</v>
      </c>
      <c r="AA26" s="40">
        <f t="shared" si="14"/>
        <v>8.3600466268395745E-3</v>
      </c>
      <c r="AB26" s="34">
        <f t="shared" si="15"/>
        <v>1.8703392153060629E-2</v>
      </c>
      <c r="AC26" s="198">
        <f t="shared" si="16"/>
        <v>1.5897883330101534E-2</v>
      </c>
      <c r="AD26" s="78">
        <f t="shared" si="17"/>
        <v>0.24888634016568562</v>
      </c>
      <c r="AE26" s="197">
        <f t="shared" si="18"/>
        <v>0</v>
      </c>
      <c r="AF26" s="78">
        <f t="shared" si="19"/>
        <v>0</v>
      </c>
      <c r="AG26" s="35">
        <f t="shared" si="20"/>
        <v>0</v>
      </c>
      <c r="AH26" s="84">
        <f t="shared" si="21"/>
        <v>1.5897883330101534E-2</v>
      </c>
      <c r="AJ26" s="47">
        <f t="shared" si="22"/>
        <v>181526.81669979217</v>
      </c>
      <c r="AK26" s="48">
        <f t="shared" si="23"/>
        <v>1111294.1350585383</v>
      </c>
      <c r="AL26" s="48">
        <f t="shared" si="24"/>
        <v>2096334.6406155133</v>
      </c>
      <c r="AM26" s="48">
        <f t="shared" si="25"/>
        <v>3389155.5923738438</v>
      </c>
      <c r="AN26" s="196">
        <f t="shared" si="26"/>
        <v>6.4255485683455188E-3</v>
      </c>
    </row>
    <row r="27" spans="1:40" ht="14.25" x14ac:dyDescent="0.2">
      <c r="A27" s="2" t="s">
        <v>22</v>
      </c>
      <c r="B27" s="202">
        <v>61325</v>
      </c>
      <c r="C27" s="84">
        <f t="shared" si="0"/>
        <v>3.653419771498635E-5</v>
      </c>
      <c r="D27" s="201">
        <v>1277</v>
      </c>
      <c r="E27" s="78">
        <f t="shared" si="1"/>
        <v>2.7441958216878717E-4</v>
      </c>
      <c r="F27" s="35">
        <f t="shared" si="2"/>
        <v>2.3325664484346909E-4</v>
      </c>
      <c r="G27" s="36">
        <v>388.05</v>
      </c>
      <c r="H27" s="78">
        <f t="shared" si="3"/>
        <v>6.0424969487765032E-3</v>
      </c>
      <c r="I27" s="37">
        <f t="shared" si="4"/>
        <v>9.0637454231647541E-4</v>
      </c>
      <c r="J27" s="84">
        <f t="shared" si="5"/>
        <v>1.1396311871599446E-3</v>
      </c>
      <c r="K27" s="38">
        <v>248</v>
      </c>
      <c r="L27" s="39">
        <v>63</v>
      </c>
      <c r="M27" s="39">
        <v>357</v>
      </c>
      <c r="N27" s="39">
        <v>74</v>
      </c>
      <c r="O27" s="40">
        <f t="shared" si="6"/>
        <v>1.4502550811558066E-4</v>
      </c>
      <c r="P27" s="40">
        <f t="shared" si="7"/>
        <v>1.7905255618839739E-4</v>
      </c>
      <c r="Q27" s="40">
        <f t="shared" si="8"/>
        <v>2.6713718729235136E-4</v>
      </c>
      <c r="R27" s="40">
        <f t="shared" si="9"/>
        <v>4.7262601231382365E-4</v>
      </c>
      <c r="S27" s="200">
        <f t="shared" si="10"/>
        <v>1.0638412639101531E-3</v>
      </c>
      <c r="T27" s="199">
        <v>138</v>
      </c>
      <c r="U27" s="199">
        <v>45</v>
      </c>
      <c r="V27" s="199">
        <v>165</v>
      </c>
      <c r="W27" s="199">
        <v>30</v>
      </c>
      <c r="X27" s="40">
        <f t="shared" si="11"/>
        <v>1.0853220418063782E-4</v>
      </c>
      <c r="Y27" s="40">
        <f t="shared" si="12"/>
        <v>1.5360039321700664E-4</v>
      </c>
      <c r="Z27" s="40">
        <f t="shared" si="13"/>
        <v>3.3504987166574612E-4</v>
      </c>
      <c r="AA27" s="40">
        <f t="shared" si="14"/>
        <v>5.4640827626402453E-4</v>
      </c>
      <c r="AB27" s="34">
        <f t="shared" si="15"/>
        <v>1.1435907453274151E-3</v>
      </c>
      <c r="AC27" s="198">
        <f t="shared" si="16"/>
        <v>9.7205213352830283E-4</v>
      </c>
      <c r="AD27" s="78">
        <f t="shared" si="17"/>
        <v>7.4963703818126448E-2</v>
      </c>
      <c r="AE27" s="197">
        <f t="shared" si="18"/>
        <v>0</v>
      </c>
      <c r="AF27" s="78">
        <f t="shared" si="19"/>
        <v>0</v>
      </c>
      <c r="AG27" s="35">
        <f t="shared" si="20"/>
        <v>0</v>
      </c>
      <c r="AH27" s="84">
        <f t="shared" si="21"/>
        <v>9.7205213352830283E-4</v>
      </c>
      <c r="AJ27" s="47">
        <f t="shared" si="22"/>
        <v>9634.9812923847749</v>
      </c>
      <c r="AK27" s="48">
        <f t="shared" si="23"/>
        <v>150274.61741687817</v>
      </c>
      <c r="AL27" s="48">
        <f t="shared" si="24"/>
        <v>128177.22445737582</v>
      </c>
      <c r="AM27" s="48">
        <f t="shared" si="25"/>
        <v>288086.82316663873</v>
      </c>
      <c r="AN27" s="196">
        <f t="shared" si="26"/>
        <v>5.4618792902955484E-4</v>
      </c>
    </row>
    <row r="28" spans="1:40" ht="14.25" x14ac:dyDescent="0.2">
      <c r="A28" s="2" t="s">
        <v>23</v>
      </c>
      <c r="B28" s="202">
        <v>211853</v>
      </c>
      <c r="C28" s="84">
        <f t="shared" si="0"/>
        <v>1.2621083389340406E-4</v>
      </c>
      <c r="D28" s="201">
        <v>5942</v>
      </c>
      <c r="E28" s="78">
        <f t="shared" si="1"/>
        <v>1.2768998882121639E-3</v>
      </c>
      <c r="F28" s="35">
        <f t="shared" si="2"/>
        <v>1.0853649049803393E-3</v>
      </c>
      <c r="G28" s="36">
        <v>1314.52</v>
      </c>
      <c r="H28" s="78">
        <f t="shared" si="3"/>
        <v>2.0468968146129852E-2</v>
      </c>
      <c r="I28" s="37">
        <f t="shared" si="4"/>
        <v>3.0703452219194775E-3</v>
      </c>
      <c r="J28" s="84">
        <f t="shared" si="5"/>
        <v>4.155710126899817E-3</v>
      </c>
      <c r="K28" s="38">
        <v>1391</v>
      </c>
      <c r="L28" s="39">
        <v>407</v>
      </c>
      <c r="M28" s="39">
        <v>3581</v>
      </c>
      <c r="N28" s="39">
        <v>1264</v>
      </c>
      <c r="O28" s="40">
        <f t="shared" si="6"/>
        <v>8.1342936205150277E-4</v>
      </c>
      <c r="P28" s="40">
        <f t="shared" si="7"/>
        <v>1.1567363550583768E-3</v>
      </c>
      <c r="Q28" s="40">
        <f t="shared" si="8"/>
        <v>2.6796029907392442E-3</v>
      </c>
      <c r="R28" s="40">
        <f t="shared" si="9"/>
        <v>8.072963237360448E-3</v>
      </c>
      <c r="S28" s="200">
        <f t="shared" si="10"/>
        <v>1.2722731945209571E-2</v>
      </c>
      <c r="T28" s="199">
        <v>1108.99999999377</v>
      </c>
      <c r="U28" s="199">
        <v>288</v>
      </c>
      <c r="V28" s="199">
        <v>3319</v>
      </c>
      <c r="W28" s="199">
        <v>607</v>
      </c>
      <c r="X28" s="40">
        <f t="shared" si="11"/>
        <v>8.721899596786318E-4</v>
      </c>
      <c r="Y28" s="40">
        <f t="shared" si="12"/>
        <v>9.8304251658884239E-4</v>
      </c>
      <c r="Z28" s="40">
        <f t="shared" si="13"/>
        <v>6.739578933688554E-3</v>
      </c>
      <c r="AA28" s="40">
        <f t="shared" si="14"/>
        <v>1.1055660789742095E-2</v>
      </c>
      <c r="AB28" s="34">
        <f t="shared" si="15"/>
        <v>1.9650472199698121E-2</v>
      </c>
      <c r="AC28" s="198">
        <f t="shared" si="16"/>
        <v>1.6702901369743402E-2</v>
      </c>
      <c r="AD28" s="78">
        <f t="shared" si="17"/>
        <v>0.54451671891877107</v>
      </c>
      <c r="AE28" s="197">
        <f t="shared" si="18"/>
        <v>0</v>
      </c>
      <c r="AF28" s="78">
        <f t="shared" si="19"/>
        <v>0</v>
      </c>
      <c r="AG28" s="35">
        <f t="shared" si="20"/>
        <v>0</v>
      </c>
      <c r="AH28" s="84">
        <f t="shared" si="21"/>
        <v>1.6702901369743402E-2</v>
      </c>
      <c r="AJ28" s="47">
        <f t="shared" si="22"/>
        <v>33284.95216853798</v>
      </c>
      <c r="AK28" s="48">
        <f t="shared" si="23"/>
        <v>547982.3266083271</v>
      </c>
      <c r="AL28" s="48">
        <f t="shared" si="24"/>
        <v>2202486.3318677889</v>
      </c>
      <c r="AM28" s="48">
        <f t="shared" si="25"/>
        <v>2783753.6106446539</v>
      </c>
      <c r="AN28" s="196">
        <f t="shared" si="26"/>
        <v>5.2777582911075057E-3</v>
      </c>
    </row>
    <row r="29" spans="1:40" ht="14.25" x14ac:dyDescent="0.2">
      <c r="A29" s="2" t="s">
        <v>24</v>
      </c>
      <c r="B29" s="202">
        <v>2038688</v>
      </c>
      <c r="C29" s="84">
        <f t="shared" si="0"/>
        <v>1.2145426901128431E-3</v>
      </c>
      <c r="D29" s="201">
        <v>55213</v>
      </c>
      <c r="E29" s="78">
        <f t="shared" si="1"/>
        <v>1.1864940008054225E-2</v>
      </c>
      <c r="F29" s="35">
        <f t="shared" si="2"/>
        <v>1.0085199006846091E-2</v>
      </c>
      <c r="G29" s="36">
        <v>184.87</v>
      </c>
      <c r="H29" s="78">
        <f t="shared" si="3"/>
        <v>2.8786919492856905E-3</v>
      </c>
      <c r="I29" s="37">
        <f t="shared" si="4"/>
        <v>4.3180379239285356E-4</v>
      </c>
      <c r="J29" s="84">
        <f t="shared" si="5"/>
        <v>1.0517002799238945E-2</v>
      </c>
      <c r="K29" s="38">
        <v>870</v>
      </c>
      <c r="L29" s="39">
        <v>295</v>
      </c>
      <c r="M29" s="39">
        <v>1873</v>
      </c>
      <c r="N29" s="39">
        <v>57</v>
      </c>
      <c r="O29" s="40">
        <f t="shared" si="6"/>
        <v>5.0875883895385148E-4</v>
      </c>
      <c r="P29" s="40">
        <f t="shared" si="7"/>
        <v>8.3842069961233702E-4</v>
      </c>
      <c r="Q29" s="40">
        <f t="shared" si="8"/>
        <v>1.4015348789876024E-3</v>
      </c>
      <c r="R29" s="40">
        <f t="shared" si="9"/>
        <v>3.6404976624172905E-4</v>
      </c>
      <c r="S29" s="200">
        <f t="shared" si="10"/>
        <v>3.1127641837955201E-3</v>
      </c>
      <c r="T29" s="199">
        <v>2629.9999999954803</v>
      </c>
      <c r="U29" s="199">
        <v>513</v>
      </c>
      <c r="V29" s="199">
        <v>350</v>
      </c>
      <c r="W29" s="199">
        <v>123</v>
      </c>
      <c r="X29" s="40">
        <f t="shared" si="11"/>
        <v>2.0684036014100501E-3</v>
      </c>
      <c r="Y29" s="40">
        <f t="shared" si="12"/>
        <v>1.7510444826738757E-3</v>
      </c>
      <c r="Z29" s="40">
        <f t="shared" si="13"/>
        <v>7.1071184898794629E-4</v>
      </c>
      <c r="AA29" s="40">
        <f t="shared" si="14"/>
        <v>2.2402739326825003E-3</v>
      </c>
      <c r="AB29" s="34">
        <f t="shared" si="15"/>
        <v>6.770433865754372E-3</v>
      </c>
      <c r="AC29" s="198">
        <f t="shared" si="16"/>
        <v>5.7548687858912165E-3</v>
      </c>
      <c r="AD29" s="78">
        <f t="shared" si="17"/>
        <v>1.1750551811794834</v>
      </c>
      <c r="AE29" s="197">
        <f t="shared" si="18"/>
        <v>0</v>
      </c>
      <c r="AF29" s="78">
        <f t="shared" si="19"/>
        <v>0</v>
      </c>
      <c r="AG29" s="35">
        <f t="shared" si="20"/>
        <v>0</v>
      </c>
      <c r="AH29" s="84">
        <f t="shared" si="21"/>
        <v>5.7548687858912165E-3</v>
      </c>
      <c r="AJ29" s="47">
        <f t="shared" si="22"/>
        <v>320305.27095000952</v>
      </c>
      <c r="AK29" s="48">
        <f t="shared" si="23"/>
        <v>1386798.2816146452</v>
      </c>
      <c r="AL29" s="48">
        <f t="shared" si="24"/>
        <v>758851.38527958049</v>
      </c>
      <c r="AM29" s="48">
        <f t="shared" si="25"/>
        <v>2465954.9378442355</v>
      </c>
      <c r="AN29" s="196">
        <f t="shared" si="26"/>
        <v>4.6752392413389621E-3</v>
      </c>
    </row>
    <row r="30" spans="1:40" ht="14.25" x14ac:dyDescent="0.2">
      <c r="A30" s="2" t="s">
        <v>25</v>
      </c>
      <c r="B30" s="202">
        <v>172373037.01000002</v>
      </c>
      <c r="C30" s="84">
        <f t="shared" si="0"/>
        <v>0.10269075605146352</v>
      </c>
      <c r="D30" s="201">
        <v>678006</v>
      </c>
      <c r="E30" s="78">
        <f t="shared" si="1"/>
        <v>0.14569939172116736</v>
      </c>
      <c r="F30" s="35">
        <f t="shared" si="2"/>
        <v>0.12384448296299225</v>
      </c>
      <c r="G30" s="36">
        <v>117.79</v>
      </c>
      <c r="H30" s="78">
        <f t="shared" si="3"/>
        <v>1.8341598134167874E-3</v>
      </c>
      <c r="I30" s="37">
        <f t="shared" si="4"/>
        <v>2.7512397201251811E-4</v>
      </c>
      <c r="J30" s="84">
        <f t="shared" si="5"/>
        <v>0.12411960693500476</v>
      </c>
      <c r="K30" s="38">
        <v>69698</v>
      </c>
      <c r="L30" s="39">
        <v>12447</v>
      </c>
      <c r="M30" s="39">
        <v>14729</v>
      </c>
      <c r="N30" s="39">
        <v>1417</v>
      </c>
      <c r="O30" s="40">
        <f t="shared" si="6"/>
        <v>4.0758015583224762E-2</v>
      </c>
      <c r="P30" s="40">
        <f t="shared" si="7"/>
        <v>3.5375669315507653E-2</v>
      </c>
      <c r="Q30" s="40">
        <f t="shared" si="8"/>
        <v>1.1021466755263425E-2</v>
      </c>
      <c r="R30" s="40">
        <f t="shared" si="9"/>
        <v>9.0501494520092984E-3</v>
      </c>
      <c r="S30" s="200">
        <f t="shared" si="10"/>
        <v>9.6205301106005142E-2</v>
      </c>
      <c r="T30" s="199">
        <v>32769.999999791457</v>
      </c>
      <c r="U30" s="199">
        <v>9468</v>
      </c>
      <c r="V30" s="199">
        <v>3881</v>
      </c>
      <c r="W30" s="199">
        <v>299</v>
      </c>
      <c r="X30" s="40">
        <f t="shared" si="11"/>
        <v>2.5772466166499041E-2</v>
      </c>
      <c r="Y30" s="40">
        <f t="shared" si="12"/>
        <v>3.2317522732858199E-2</v>
      </c>
      <c r="Z30" s="40">
        <f t="shared" si="13"/>
        <v>7.8807791026349137E-3</v>
      </c>
      <c r="AA30" s="40">
        <f t="shared" si="14"/>
        <v>5.4458691534314436E-3</v>
      </c>
      <c r="AB30" s="34">
        <f t="shared" si="15"/>
        <v>7.1416637155423596E-2</v>
      </c>
      <c r="AC30" s="198">
        <f t="shared" si="16"/>
        <v>6.0704141582110058E-2</v>
      </c>
      <c r="AD30" s="78">
        <f t="shared" si="17"/>
        <v>-0.25766422084441909</v>
      </c>
      <c r="AE30" s="197">
        <f t="shared" si="18"/>
        <v>-0.25766422084441909</v>
      </c>
      <c r="AF30" s="78">
        <f t="shared" si="19"/>
        <v>4.80132597732017E-2</v>
      </c>
      <c r="AG30" s="35">
        <f t="shared" si="20"/>
        <v>7.2019889659802544E-3</v>
      </c>
      <c r="AH30" s="84">
        <f t="shared" si="21"/>
        <v>6.7906130548090318E-2</v>
      </c>
      <c r="AJ30" s="47">
        <f t="shared" si="22"/>
        <v>27082119.639672216</v>
      </c>
      <c r="AK30" s="48">
        <f t="shared" si="23"/>
        <v>16366721.669467064</v>
      </c>
      <c r="AL30" s="48">
        <f t="shared" si="24"/>
        <v>8954272.1393975578</v>
      </c>
      <c r="AM30" s="48">
        <f t="shared" si="25"/>
        <v>52403113.448536843</v>
      </c>
      <c r="AN30" s="196">
        <f t="shared" si="26"/>
        <v>9.9351812396505534E-2</v>
      </c>
    </row>
    <row r="31" spans="1:40" ht="14.25" x14ac:dyDescent="0.2">
      <c r="A31" s="2" t="s">
        <v>26</v>
      </c>
      <c r="B31" s="202">
        <v>128833</v>
      </c>
      <c r="C31" s="84">
        <f t="shared" si="0"/>
        <v>7.6751900435627181E-5</v>
      </c>
      <c r="D31" s="201">
        <v>2030</v>
      </c>
      <c r="E31" s="78">
        <f t="shared" si="1"/>
        <v>4.3623473124717146E-4</v>
      </c>
      <c r="F31" s="35">
        <f t="shared" si="2"/>
        <v>3.7079952156009573E-4</v>
      </c>
      <c r="G31" s="36">
        <v>497.27</v>
      </c>
      <c r="H31" s="78">
        <f t="shared" si="3"/>
        <v>7.743209528973307E-3</v>
      </c>
      <c r="I31" s="37">
        <f t="shared" si="4"/>
        <v>1.1614814293459961E-3</v>
      </c>
      <c r="J31" s="84">
        <f t="shared" si="5"/>
        <v>1.5322809509060917E-3</v>
      </c>
      <c r="K31" s="38">
        <v>525</v>
      </c>
      <c r="L31" s="39">
        <v>111</v>
      </c>
      <c r="M31" s="39">
        <v>654</v>
      </c>
      <c r="N31" s="39">
        <v>69</v>
      </c>
      <c r="O31" s="40">
        <f t="shared" si="6"/>
        <v>3.070096441962897E-4</v>
      </c>
      <c r="P31" s="40">
        <f t="shared" si="7"/>
        <v>3.1547355137955733E-4</v>
      </c>
      <c r="Q31" s="40">
        <f t="shared" si="8"/>
        <v>4.8937736831708065E-4</v>
      </c>
      <c r="R31" s="40">
        <f t="shared" si="9"/>
        <v>4.4069182229261936E-4</v>
      </c>
      <c r="S31" s="200">
        <f t="shared" si="10"/>
        <v>1.5525523861855471E-3</v>
      </c>
      <c r="T31" s="199">
        <v>374.99999999594002</v>
      </c>
      <c r="U31" s="199">
        <v>98</v>
      </c>
      <c r="V31" s="199">
        <v>163</v>
      </c>
      <c r="W31" s="199">
        <v>24</v>
      </c>
      <c r="X31" s="40">
        <f t="shared" si="11"/>
        <v>2.9492446787897499E-4</v>
      </c>
      <c r="Y31" s="40">
        <f t="shared" si="12"/>
        <v>3.3450752300592557E-4</v>
      </c>
      <c r="Z31" s="40">
        <f t="shared" si="13"/>
        <v>3.3098866110010071E-4</v>
      </c>
      <c r="AA31" s="40">
        <f t="shared" si="14"/>
        <v>4.3712662101121958E-4</v>
      </c>
      <c r="AB31" s="34">
        <f t="shared" si="15"/>
        <v>1.397547272996221E-3</v>
      </c>
      <c r="AC31" s="198">
        <f t="shared" si="16"/>
        <v>1.1879151820467877E-3</v>
      </c>
      <c r="AD31" s="78">
        <f t="shared" si="17"/>
        <v>-9.983889404862975E-2</v>
      </c>
      <c r="AE31" s="197">
        <f t="shared" si="18"/>
        <v>-9.983889404862975E-2</v>
      </c>
      <c r="AF31" s="78">
        <f t="shared" si="19"/>
        <v>1.8604021698148197E-2</v>
      </c>
      <c r="AG31" s="35">
        <f t="shared" si="20"/>
        <v>2.7906032547222294E-3</v>
      </c>
      <c r="AH31" s="84">
        <f t="shared" si="21"/>
        <v>3.9785184367690171E-3</v>
      </c>
      <c r="AJ31" s="47">
        <f t="shared" si="22"/>
        <v>20241.394942385778</v>
      </c>
      <c r="AK31" s="48">
        <f t="shared" si="23"/>
        <v>202050.39688885451</v>
      </c>
      <c r="AL31" s="48">
        <f t="shared" si="24"/>
        <v>524617.38736845448</v>
      </c>
      <c r="AM31" s="48">
        <f t="shared" si="25"/>
        <v>746909.17919969477</v>
      </c>
      <c r="AN31" s="196">
        <f t="shared" si="26"/>
        <v>1.4160757971365908E-3</v>
      </c>
    </row>
    <row r="32" spans="1:40" ht="14.25" x14ac:dyDescent="0.2">
      <c r="A32" s="2" t="s">
        <v>27</v>
      </c>
      <c r="B32" s="202">
        <v>1830297</v>
      </c>
      <c r="C32" s="84">
        <f t="shared" si="0"/>
        <v>1.0903943330639442E-3</v>
      </c>
      <c r="D32" s="201">
        <v>16604</v>
      </c>
      <c r="E32" s="78">
        <f t="shared" si="1"/>
        <v>3.5680992500630713E-3</v>
      </c>
      <c r="F32" s="35">
        <f t="shared" si="2"/>
        <v>3.0328843625536104E-3</v>
      </c>
      <c r="G32" s="36">
        <v>170.12</v>
      </c>
      <c r="H32" s="78">
        <f t="shared" si="3"/>
        <v>2.6490132223318096E-3</v>
      </c>
      <c r="I32" s="37">
        <f t="shared" si="4"/>
        <v>3.9735198334977145E-4</v>
      </c>
      <c r="J32" s="84">
        <f t="shared" si="5"/>
        <v>3.430236345903382E-3</v>
      </c>
      <c r="K32" s="38">
        <v>1777</v>
      </c>
      <c r="L32" s="39">
        <v>482</v>
      </c>
      <c r="M32" s="39">
        <v>1571</v>
      </c>
      <c r="N32" s="39">
        <v>193</v>
      </c>
      <c r="O32" s="40">
        <f t="shared" si="6"/>
        <v>1.0391545480701082E-3</v>
      </c>
      <c r="P32" s="40">
        <f t="shared" si="7"/>
        <v>1.3698941600445642E-3</v>
      </c>
      <c r="Q32" s="40">
        <f t="shared" si="8"/>
        <v>1.1755532807739047E-3</v>
      </c>
      <c r="R32" s="40">
        <f t="shared" si="9"/>
        <v>1.2326597348184861E-3</v>
      </c>
      <c r="S32" s="200">
        <f t="shared" si="10"/>
        <v>4.8172617237070628E-3</v>
      </c>
      <c r="T32" s="199">
        <v>887.9999999826681</v>
      </c>
      <c r="U32" s="199">
        <v>349</v>
      </c>
      <c r="V32" s="199">
        <v>145</v>
      </c>
      <c r="W32" s="199">
        <v>79</v>
      </c>
      <c r="X32" s="40">
        <f t="shared" si="11"/>
        <v>6.9838113993134286E-4</v>
      </c>
      <c r="Y32" s="40">
        <f t="shared" si="12"/>
        <v>1.1912563829496736E-3</v>
      </c>
      <c r="Z32" s="40">
        <f t="shared" si="13"/>
        <v>2.9443776600929206E-4</v>
      </c>
      <c r="AA32" s="40">
        <f t="shared" si="14"/>
        <v>1.4388751274952644E-3</v>
      </c>
      <c r="AB32" s="34">
        <f t="shared" si="15"/>
        <v>3.6229504163855729E-3</v>
      </c>
      <c r="AC32" s="198">
        <f t="shared" si="16"/>
        <v>3.0795078539277371E-3</v>
      </c>
      <c r="AD32" s="78">
        <f t="shared" si="17"/>
        <v>-0.24792327588180588</v>
      </c>
      <c r="AE32" s="197">
        <f t="shared" si="18"/>
        <v>-0.24792327588180588</v>
      </c>
      <c r="AF32" s="78">
        <f t="shared" si="19"/>
        <v>4.6198127973397771E-2</v>
      </c>
      <c r="AG32" s="35">
        <f t="shared" si="20"/>
        <v>6.9297191960096651E-3</v>
      </c>
      <c r="AH32" s="84">
        <f t="shared" si="21"/>
        <v>1.0009227049937402E-2</v>
      </c>
      <c r="AJ32" s="47">
        <f t="shared" si="22"/>
        <v>287564.24548728863</v>
      </c>
      <c r="AK32" s="48">
        <f t="shared" si="23"/>
        <v>452319.54016168468</v>
      </c>
      <c r="AL32" s="48">
        <f t="shared" si="24"/>
        <v>1319841.7018723704</v>
      </c>
      <c r="AM32" s="48">
        <f t="shared" si="25"/>
        <v>2059725.4875213439</v>
      </c>
      <c r="AN32" s="196">
        <f t="shared" si="26"/>
        <v>3.9050630154921677E-3</v>
      </c>
    </row>
    <row r="33" spans="1:40" ht="14.25" x14ac:dyDescent="0.2">
      <c r="A33" s="2" t="s">
        <v>28</v>
      </c>
      <c r="B33" s="202">
        <v>150754</v>
      </c>
      <c r="C33" s="84">
        <f t="shared" si="0"/>
        <v>8.981127504810522E-5</v>
      </c>
      <c r="D33" s="201">
        <v>1594</v>
      </c>
      <c r="E33" s="78">
        <f t="shared" si="1"/>
        <v>3.425409663093553E-4</v>
      </c>
      <c r="F33" s="35">
        <f t="shared" si="2"/>
        <v>2.9115982136295197E-4</v>
      </c>
      <c r="G33" s="36">
        <v>444.11</v>
      </c>
      <c r="H33" s="78">
        <f t="shared" si="3"/>
        <v>6.9154318255924057E-3</v>
      </c>
      <c r="I33" s="37">
        <f t="shared" si="4"/>
        <v>1.0373147738388607E-3</v>
      </c>
      <c r="J33" s="84">
        <f t="shared" si="5"/>
        <v>1.3284745952018128E-3</v>
      </c>
      <c r="K33" s="38">
        <v>236</v>
      </c>
      <c r="L33" s="39">
        <v>70</v>
      </c>
      <c r="M33" s="39">
        <v>392</v>
      </c>
      <c r="N33" s="39">
        <v>106</v>
      </c>
      <c r="O33" s="40">
        <f t="shared" si="6"/>
        <v>1.3800814481966547E-4</v>
      </c>
      <c r="P33" s="40">
        <f t="shared" si="7"/>
        <v>1.9894728465377488E-4</v>
      </c>
      <c r="Q33" s="40">
        <f t="shared" si="8"/>
        <v>2.9332710761513091E-4</v>
      </c>
      <c r="R33" s="40">
        <f t="shared" si="9"/>
        <v>6.7700482844953124E-4</v>
      </c>
      <c r="S33" s="200">
        <f t="shared" si="10"/>
        <v>1.3072873655381025E-3</v>
      </c>
      <c r="T33" s="199">
        <v>156.00000000186</v>
      </c>
      <c r="U33" s="199">
        <v>60</v>
      </c>
      <c r="V33" s="199">
        <v>117</v>
      </c>
      <c r="W33" s="199">
        <v>25</v>
      </c>
      <c r="X33" s="40">
        <f t="shared" si="11"/>
        <v>1.2268857864044472E-4</v>
      </c>
      <c r="Y33" s="40">
        <f t="shared" si="12"/>
        <v>2.0480052428934218E-4</v>
      </c>
      <c r="Z33" s="40">
        <f t="shared" si="13"/>
        <v>2.3758081809025633E-4</v>
      </c>
      <c r="AA33" s="40">
        <f t="shared" si="14"/>
        <v>4.5534023022002039E-4</v>
      </c>
      <c r="AB33" s="34">
        <f t="shared" si="15"/>
        <v>1.0204101512400637E-3</v>
      </c>
      <c r="AC33" s="198">
        <f t="shared" si="16"/>
        <v>8.6734862855405406E-4</v>
      </c>
      <c r="AD33" s="78">
        <f t="shared" si="17"/>
        <v>-0.21944464687758616</v>
      </c>
      <c r="AE33" s="197">
        <f t="shared" si="18"/>
        <v>-0.21944464687758616</v>
      </c>
      <c r="AF33" s="78">
        <f t="shared" si="19"/>
        <v>4.0891408212760681E-2</v>
      </c>
      <c r="AG33" s="35">
        <f t="shared" si="20"/>
        <v>6.1337112319141017E-3</v>
      </c>
      <c r="AH33" s="84">
        <f t="shared" si="21"/>
        <v>7.0010598604681555E-3</v>
      </c>
      <c r="AJ33" s="47">
        <f t="shared" si="22"/>
        <v>23685.478512061545</v>
      </c>
      <c r="AK33" s="48">
        <f t="shared" si="23"/>
        <v>175175.98130979901</v>
      </c>
      <c r="AL33" s="48">
        <f t="shared" si="24"/>
        <v>923177.25585098204</v>
      </c>
      <c r="AM33" s="48">
        <f t="shared" si="25"/>
        <v>1122038.7156728427</v>
      </c>
      <c r="AN33" s="196">
        <f t="shared" si="26"/>
        <v>2.1272892514415448E-3</v>
      </c>
    </row>
    <row r="34" spans="1:40" ht="14.25" x14ac:dyDescent="0.2">
      <c r="A34" s="2" t="s">
        <v>29</v>
      </c>
      <c r="B34" s="202">
        <v>403529</v>
      </c>
      <c r="C34" s="84">
        <f t="shared" si="0"/>
        <v>2.4040127631032578E-4</v>
      </c>
      <c r="D34" s="201">
        <v>6914</v>
      </c>
      <c r="E34" s="78">
        <f t="shared" si="1"/>
        <v>1.4857768137157357E-3</v>
      </c>
      <c r="F34" s="35">
        <f t="shared" si="2"/>
        <v>1.2629102916583753E-3</v>
      </c>
      <c r="G34" s="36">
        <v>127.8</v>
      </c>
      <c r="H34" s="78">
        <f t="shared" si="3"/>
        <v>1.990029918963116E-3</v>
      </c>
      <c r="I34" s="37">
        <f t="shared" si="4"/>
        <v>2.9850448784446741E-4</v>
      </c>
      <c r="J34" s="84">
        <f t="shared" si="5"/>
        <v>1.5614147795028426E-3</v>
      </c>
      <c r="K34" s="38">
        <v>1201</v>
      </c>
      <c r="L34" s="39">
        <v>234</v>
      </c>
      <c r="M34" s="39">
        <v>2745</v>
      </c>
      <c r="N34" s="39">
        <v>176</v>
      </c>
      <c r="O34" s="40">
        <f t="shared" si="6"/>
        <v>7.0232110986617887E-4</v>
      </c>
      <c r="P34" s="40">
        <f t="shared" si="7"/>
        <v>6.6505235155690464E-4</v>
      </c>
      <c r="Q34" s="40">
        <f t="shared" si="8"/>
        <v>2.0540380367437099E-3</v>
      </c>
      <c r="R34" s="40">
        <f t="shared" si="9"/>
        <v>1.1240834887463913E-3</v>
      </c>
      <c r="S34" s="200">
        <f t="shared" si="10"/>
        <v>4.5454949869131846E-3</v>
      </c>
      <c r="T34" s="199">
        <v>649.99999999475995</v>
      </c>
      <c r="U34" s="199">
        <v>185</v>
      </c>
      <c r="V34" s="199">
        <v>941</v>
      </c>
      <c r="W34" s="199">
        <v>42</v>
      </c>
      <c r="X34" s="40">
        <f t="shared" si="11"/>
        <v>5.1120241099163676E-4</v>
      </c>
      <c r="Y34" s="40">
        <f t="shared" si="12"/>
        <v>6.3146828322547177E-4</v>
      </c>
      <c r="Z34" s="40">
        <f t="shared" si="13"/>
        <v>1.9107995711361643E-3</v>
      </c>
      <c r="AA34" s="40">
        <f t="shared" si="14"/>
        <v>7.6497158676963432E-4</v>
      </c>
      <c r="AB34" s="34">
        <f t="shared" si="15"/>
        <v>3.8184418521229071E-3</v>
      </c>
      <c r="AC34" s="198">
        <f t="shared" si="16"/>
        <v>3.2456755743044711E-3</v>
      </c>
      <c r="AD34" s="78">
        <f t="shared" si="17"/>
        <v>-0.15995026655700142</v>
      </c>
      <c r="AE34" s="197">
        <f t="shared" si="18"/>
        <v>-0.15995026655700142</v>
      </c>
      <c r="AF34" s="78">
        <f t="shared" si="19"/>
        <v>2.9805200247927655E-2</v>
      </c>
      <c r="AG34" s="35">
        <f t="shared" si="20"/>
        <v>4.4707800371891482E-3</v>
      </c>
      <c r="AH34" s="84">
        <f t="shared" si="21"/>
        <v>7.7164556114936193E-3</v>
      </c>
      <c r="AJ34" s="47">
        <f t="shared" si="22"/>
        <v>63399.826594940656</v>
      </c>
      <c r="AK34" s="48">
        <f t="shared" si="23"/>
        <v>205892.05636219357</v>
      </c>
      <c r="AL34" s="48">
        <f t="shared" si="24"/>
        <v>1017511.1280705773</v>
      </c>
      <c r="AM34" s="48">
        <f t="shared" si="25"/>
        <v>1286803.0110277114</v>
      </c>
      <c r="AN34" s="196">
        <f t="shared" si="26"/>
        <v>2.4396682359042782E-3</v>
      </c>
    </row>
    <row r="35" spans="1:40" ht="14.25" x14ac:dyDescent="0.2">
      <c r="A35" s="2" t="s">
        <v>30</v>
      </c>
      <c r="B35" s="202">
        <v>106600.57</v>
      </c>
      <c r="C35" s="84">
        <f t="shared" si="0"/>
        <v>6.3506992269225321E-5</v>
      </c>
      <c r="D35" s="201">
        <v>3558</v>
      </c>
      <c r="E35" s="78">
        <f t="shared" si="1"/>
        <v>7.6459269644208675E-4</v>
      </c>
      <c r="F35" s="35">
        <f t="shared" si="2"/>
        <v>6.4990379197577377E-4</v>
      </c>
      <c r="G35" s="36">
        <v>561.88</v>
      </c>
      <c r="H35" s="78">
        <f t="shared" si="3"/>
        <v>8.7492802102268827E-3</v>
      </c>
      <c r="I35" s="37">
        <f t="shared" si="4"/>
        <v>1.3123920315340324E-3</v>
      </c>
      <c r="J35" s="84">
        <f t="shared" si="5"/>
        <v>1.9622958235098061E-3</v>
      </c>
      <c r="K35" s="38">
        <v>779</v>
      </c>
      <c r="L35" s="39">
        <v>226</v>
      </c>
      <c r="M35" s="39">
        <v>2400</v>
      </c>
      <c r="N35" s="39">
        <v>462</v>
      </c>
      <c r="O35" s="40">
        <f t="shared" si="6"/>
        <v>4.5554383395982794E-4</v>
      </c>
      <c r="P35" s="40">
        <f t="shared" si="7"/>
        <v>6.4231551902504459E-4</v>
      </c>
      <c r="Q35" s="40">
        <f t="shared" si="8"/>
        <v>1.795880250704883E-3</v>
      </c>
      <c r="R35" s="40">
        <f t="shared" si="9"/>
        <v>2.9507191579592777E-3</v>
      </c>
      <c r="S35" s="200">
        <f t="shared" si="10"/>
        <v>5.8444587616490332E-3</v>
      </c>
      <c r="T35" s="199">
        <v>671.99999999645991</v>
      </c>
      <c r="U35" s="199">
        <v>188</v>
      </c>
      <c r="V35" s="199">
        <v>1437</v>
      </c>
      <c r="W35" s="199">
        <v>355</v>
      </c>
      <c r="X35" s="40">
        <f t="shared" si="11"/>
        <v>5.2850464644206086E-4</v>
      </c>
      <c r="Y35" s="40">
        <f t="shared" si="12"/>
        <v>6.4170830943993879E-4</v>
      </c>
      <c r="Z35" s="40">
        <f t="shared" si="13"/>
        <v>2.9179797914162253E-3</v>
      </c>
      <c r="AA35" s="40">
        <f t="shared" si="14"/>
        <v>6.4658312691242897E-3</v>
      </c>
      <c r="AB35" s="34">
        <f t="shared" si="15"/>
        <v>1.0554024016422515E-2</v>
      </c>
      <c r="AC35" s="198">
        <f t="shared" si="16"/>
        <v>8.9709204139591381E-3</v>
      </c>
      <c r="AD35" s="78">
        <f t="shared" si="17"/>
        <v>0.80581717603644487</v>
      </c>
      <c r="AE35" s="197">
        <f t="shared" si="18"/>
        <v>0</v>
      </c>
      <c r="AF35" s="78">
        <f t="shared" si="19"/>
        <v>0</v>
      </c>
      <c r="AG35" s="35">
        <f t="shared" si="20"/>
        <v>0</v>
      </c>
      <c r="AH35" s="84">
        <f t="shared" si="21"/>
        <v>8.9709204139591381E-3</v>
      </c>
      <c r="AJ35" s="47">
        <f t="shared" si="22"/>
        <v>16748.381536201447</v>
      </c>
      <c r="AK35" s="48">
        <f t="shared" si="23"/>
        <v>258753.23302756177</v>
      </c>
      <c r="AL35" s="48">
        <f t="shared" si="24"/>
        <v>1182927.9930856868</v>
      </c>
      <c r="AM35" s="48">
        <f t="shared" si="25"/>
        <v>1458429.60764945</v>
      </c>
      <c r="AN35" s="196">
        <f t="shared" si="26"/>
        <v>2.7650575555018485E-3</v>
      </c>
    </row>
    <row r="36" spans="1:40" ht="14.25" x14ac:dyDescent="0.2">
      <c r="A36" s="2" t="s">
        <v>31</v>
      </c>
      <c r="B36" s="202">
        <v>9952825.2300000004</v>
      </c>
      <c r="C36" s="84">
        <f t="shared" si="0"/>
        <v>5.9293678724096945E-3</v>
      </c>
      <c r="D36" s="201">
        <v>256970</v>
      </c>
      <c r="E36" s="78">
        <f t="shared" si="1"/>
        <v>5.5221299945116084E-2</v>
      </c>
      <c r="F36" s="35">
        <f t="shared" si="2"/>
        <v>4.6938104953348672E-2</v>
      </c>
      <c r="G36" s="36">
        <v>247</v>
      </c>
      <c r="H36" s="78">
        <f t="shared" si="3"/>
        <v>3.8461454615327825E-3</v>
      </c>
      <c r="I36" s="37">
        <f t="shared" si="4"/>
        <v>5.769218192299174E-4</v>
      </c>
      <c r="J36" s="84">
        <f t="shared" si="5"/>
        <v>4.7515026772578586E-2</v>
      </c>
      <c r="K36" s="38">
        <v>7826</v>
      </c>
      <c r="L36" s="39">
        <v>1628</v>
      </c>
      <c r="M36" s="39">
        <v>22499</v>
      </c>
      <c r="N36" s="39">
        <v>705</v>
      </c>
      <c r="O36" s="40">
        <f t="shared" si="6"/>
        <v>4.5764904294860248E-3</v>
      </c>
      <c r="P36" s="40">
        <f t="shared" si="7"/>
        <v>4.6269454202335072E-3</v>
      </c>
      <c r="Q36" s="40">
        <f t="shared" si="8"/>
        <v>1.6835629066920484E-2</v>
      </c>
      <c r="R36" s="40">
        <f t="shared" si="9"/>
        <v>4.5027207929898066E-3</v>
      </c>
      <c r="S36" s="200">
        <f t="shared" si="10"/>
        <v>3.0541785709629822E-2</v>
      </c>
      <c r="T36" s="199">
        <v>16068.000000124277</v>
      </c>
      <c r="U36" s="199">
        <v>2619</v>
      </c>
      <c r="V36" s="199">
        <v>3702</v>
      </c>
      <c r="W36" s="199">
        <v>260</v>
      </c>
      <c r="X36" s="40">
        <f t="shared" si="11"/>
        <v>1.2636923599912874E-2</v>
      </c>
      <c r="Y36" s="40">
        <f t="shared" si="12"/>
        <v>8.939542885229787E-3</v>
      </c>
      <c r="Z36" s="40">
        <f t="shared" si="13"/>
        <v>7.5173007570096496E-3</v>
      </c>
      <c r="AA36" s="40">
        <f t="shared" si="14"/>
        <v>4.7355383942882124E-3</v>
      </c>
      <c r="AB36" s="34">
        <f t="shared" si="15"/>
        <v>3.3829305636440522E-2</v>
      </c>
      <c r="AC36" s="198">
        <f t="shared" si="16"/>
        <v>2.8754909790974444E-2</v>
      </c>
      <c r="AD36" s="78">
        <f t="shared" si="17"/>
        <v>0.10764006918476104</v>
      </c>
      <c r="AE36" s="197">
        <f t="shared" si="18"/>
        <v>0</v>
      </c>
      <c r="AF36" s="78">
        <f t="shared" si="19"/>
        <v>0</v>
      </c>
      <c r="AG36" s="35">
        <f t="shared" si="20"/>
        <v>0</v>
      </c>
      <c r="AH36" s="84">
        <f t="shared" si="21"/>
        <v>2.8754909790974444E-2</v>
      </c>
      <c r="AJ36" s="47">
        <f t="shared" si="22"/>
        <v>1563722.5421512465</v>
      </c>
      <c r="AK36" s="48">
        <f t="shared" si="23"/>
        <v>6265450.2177991429</v>
      </c>
      <c r="AL36" s="48">
        <f t="shared" si="24"/>
        <v>3791694.2923123674</v>
      </c>
      <c r="AM36" s="48">
        <f t="shared" si="25"/>
        <v>11620867.052262757</v>
      </c>
      <c r="AN36" s="196">
        <f t="shared" si="26"/>
        <v>2.2032168077093104E-2</v>
      </c>
    </row>
    <row r="37" spans="1:40" ht="14.25" x14ac:dyDescent="0.2">
      <c r="A37" s="2" t="s">
        <v>32</v>
      </c>
      <c r="B37" s="202">
        <v>294190</v>
      </c>
      <c r="C37" s="84">
        <f t="shared" si="0"/>
        <v>1.7526287200606336E-4</v>
      </c>
      <c r="D37" s="201">
        <v>5349</v>
      </c>
      <c r="E37" s="78">
        <f t="shared" si="1"/>
        <v>1.1494677721384829E-3</v>
      </c>
      <c r="F37" s="35">
        <f t="shared" si="2"/>
        <v>9.7704760631771043E-4</v>
      </c>
      <c r="G37" s="36">
        <v>3428.68</v>
      </c>
      <c r="H37" s="78">
        <f t="shared" si="3"/>
        <v>5.3389481866591988E-2</v>
      </c>
      <c r="I37" s="37">
        <f t="shared" si="4"/>
        <v>8.0084222799887972E-3</v>
      </c>
      <c r="J37" s="84">
        <f t="shared" si="5"/>
        <v>8.9854698863065068E-3</v>
      </c>
      <c r="K37" s="38">
        <v>900</v>
      </c>
      <c r="L37" s="39">
        <v>209</v>
      </c>
      <c r="M37" s="39">
        <v>2198</v>
      </c>
      <c r="N37" s="39">
        <v>203</v>
      </c>
      <c r="O37" s="40">
        <f t="shared" si="6"/>
        <v>5.2630224719363945E-4</v>
      </c>
      <c r="P37" s="40">
        <f t="shared" si="7"/>
        <v>5.9399974989484219E-4</v>
      </c>
      <c r="Q37" s="40">
        <f t="shared" si="8"/>
        <v>1.6447269962705554E-3</v>
      </c>
      <c r="R37" s="40">
        <f t="shared" si="9"/>
        <v>1.2965281148608946E-3</v>
      </c>
      <c r="S37" s="200">
        <f t="shared" si="10"/>
        <v>4.0615571082199316E-3</v>
      </c>
      <c r="T37" s="199">
        <v>711.99999999240003</v>
      </c>
      <c r="U37" s="199">
        <v>170</v>
      </c>
      <c r="V37" s="199">
        <v>749</v>
      </c>
      <c r="W37" s="199">
        <v>32</v>
      </c>
      <c r="X37" s="40">
        <f t="shared" si="11"/>
        <v>5.5996325634629924E-4</v>
      </c>
      <c r="Y37" s="40">
        <f t="shared" si="12"/>
        <v>5.8026815215313622E-4</v>
      </c>
      <c r="Z37" s="40">
        <f t="shared" si="13"/>
        <v>1.5209233568342052E-3</v>
      </c>
      <c r="AA37" s="40">
        <f t="shared" si="14"/>
        <v>5.8283549468162615E-4</v>
      </c>
      <c r="AB37" s="34">
        <f t="shared" si="15"/>
        <v>3.2439902600152671E-3</v>
      </c>
      <c r="AC37" s="198">
        <f t="shared" si="16"/>
        <v>2.7573917210129768E-3</v>
      </c>
      <c r="AD37" s="78">
        <f t="shared" si="17"/>
        <v>-0.20129394378083273</v>
      </c>
      <c r="AE37" s="197">
        <f t="shared" si="18"/>
        <v>-0.20129394378083273</v>
      </c>
      <c r="AF37" s="78">
        <f t="shared" si="19"/>
        <v>3.7509198529186154E-2</v>
      </c>
      <c r="AG37" s="35">
        <f t="shared" si="20"/>
        <v>5.6263797793779232E-3</v>
      </c>
      <c r="AH37" s="84">
        <f t="shared" si="21"/>
        <v>8.3837715003909005E-3</v>
      </c>
      <c r="AJ37" s="47">
        <f t="shared" si="22"/>
        <v>46221.200919799056</v>
      </c>
      <c r="AK37" s="48">
        <f t="shared" si="23"/>
        <v>1184846.5228830916</v>
      </c>
      <c r="AL37" s="48">
        <f t="shared" si="24"/>
        <v>1105505.069470295</v>
      </c>
      <c r="AM37" s="48">
        <f t="shared" si="25"/>
        <v>2336572.7932731854</v>
      </c>
      <c r="AN37" s="196">
        <f t="shared" si="26"/>
        <v>4.4299417826773827E-3</v>
      </c>
    </row>
    <row r="38" spans="1:40" ht="14.25" x14ac:dyDescent="0.2">
      <c r="A38" s="2" t="s">
        <v>33</v>
      </c>
      <c r="B38" s="202">
        <v>7303826.9700000007</v>
      </c>
      <c r="C38" s="84">
        <f t="shared" ref="C38:C69" si="27">(B38/B$57)</f>
        <v>4.3512345470530737E-3</v>
      </c>
      <c r="D38" s="201">
        <v>78669</v>
      </c>
      <c r="E38" s="78">
        <f t="shared" ref="E38:E69" si="28">+D38/$D$57</f>
        <v>1.6905492646543709E-2</v>
      </c>
      <c r="F38" s="35">
        <f t="shared" ref="F38:F69" si="29">+E38*F$3</f>
        <v>1.4369668749562152E-2</v>
      </c>
      <c r="G38" s="36">
        <v>2539.67</v>
      </c>
      <c r="H38" s="78">
        <f t="shared" ref="H38:H69" si="30">+G38/$G$57</f>
        <v>3.9546316778505917E-2</v>
      </c>
      <c r="I38" s="37">
        <f t="shared" ref="I38:I69" si="31">+H38*I$3</f>
        <v>5.9319475167758876E-3</v>
      </c>
      <c r="J38" s="84">
        <f t="shared" ref="J38:J69" si="32">+I38+F38</f>
        <v>2.030161626633804E-2</v>
      </c>
      <c r="K38" s="38">
        <v>12929</v>
      </c>
      <c r="L38" s="39">
        <v>2053</v>
      </c>
      <c r="M38" s="39">
        <v>23315</v>
      </c>
      <c r="N38" s="39">
        <v>2592</v>
      </c>
      <c r="O38" s="40">
        <f t="shared" ref="O38:O56" si="33">+K38/K$57*0.25</f>
        <v>7.5606241710739607E-3</v>
      </c>
      <c r="P38" s="40">
        <f t="shared" ref="P38:P56" si="34">+L38/L$57*0.25</f>
        <v>5.8348396484885689E-3</v>
      </c>
      <c r="Q38" s="40">
        <f t="shared" ref="Q38:Q56" si="35">+M38/M$57*0.25</f>
        <v>1.7446228352160146E-2</v>
      </c>
      <c r="R38" s="40">
        <f t="shared" ref="R38:R56" si="36">+N38/N$57*0.25</f>
        <v>1.6554684106992311E-2</v>
      </c>
      <c r="S38" s="200">
        <f t="shared" ref="S38:S69" si="37">SUM(O38:R38)</f>
        <v>4.7396376278714986E-2</v>
      </c>
      <c r="T38" s="199">
        <v>10671.999999957041</v>
      </c>
      <c r="U38" s="199">
        <v>1702</v>
      </c>
      <c r="V38" s="199">
        <v>11424</v>
      </c>
      <c r="W38" s="199">
        <v>888</v>
      </c>
      <c r="X38" s="40">
        <f t="shared" ref="X38:X56" si="38">+T38/T$57*0.25</f>
        <v>8.3931571232688726E-3</v>
      </c>
      <c r="Y38" s="40">
        <f t="shared" ref="Y38:Y56" si="39">+U38/U$57*0.25</f>
        <v>5.8095082056743401E-3</v>
      </c>
      <c r="Z38" s="40">
        <f t="shared" ref="Z38:Z56" si="40">+V38/V$57*0.25</f>
        <v>2.3197634750966568E-2</v>
      </c>
      <c r="AA38" s="40">
        <f t="shared" ref="AA38:AA56" si="41">+W38/W$57*0.25</f>
        <v>1.6173684977415125E-2</v>
      </c>
      <c r="AB38" s="34">
        <f t="shared" ref="AB38:AB69" si="42">SUM(X38:AA38)</f>
        <v>5.3573985057324913E-2</v>
      </c>
      <c r="AC38" s="198">
        <f t="shared" ref="AC38:AC69" si="43">+AB38*AC$3</f>
        <v>4.5537887298726175E-2</v>
      </c>
      <c r="AD38" s="78">
        <f t="shared" ref="AD38:AD56" si="44">+(AB38-S38)/S38</f>
        <v>0.13033926353952507</v>
      </c>
      <c r="AE38" s="197">
        <f t="shared" ref="AE38:AE69" si="45">IF(AD38&gt;0,0,AD38)</f>
        <v>0</v>
      </c>
      <c r="AF38" s="78">
        <f t="shared" ref="AF38:AF69" si="46">+AE38/AE$57</f>
        <v>0</v>
      </c>
      <c r="AG38" s="35">
        <f t="shared" ref="AG38:AG69" si="47">+AF38*AG$3</f>
        <v>0</v>
      </c>
      <c r="AH38" s="84">
        <f t="shared" ref="AH38:AH69" si="48">+AG38+AC38</f>
        <v>4.5537887298726175E-2</v>
      </c>
      <c r="AJ38" s="47">
        <f t="shared" ref="AJ38:AJ56" si="49">+C38*AJ$4</f>
        <v>1147529.3309215717</v>
      </c>
      <c r="AK38" s="48">
        <f t="shared" ref="AK38:AK56" si="50">+J38*AK$4</f>
        <v>2677021.8749199994</v>
      </c>
      <c r="AL38" s="48">
        <f t="shared" ref="AL38:AL56" si="51">+AH38*AL$4</f>
        <v>6004739.6639282797</v>
      </c>
      <c r="AM38" s="48">
        <f t="shared" ref="AM38:AM69" si="52">SUM(AJ38:AL38)</f>
        <v>9829290.8697698507</v>
      </c>
      <c r="AN38" s="196">
        <f t="shared" ref="AN38:AN69" si="53">+AM38/AM$57</f>
        <v>1.8635493164792589E-2</v>
      </c>
    </row>
    <row r="39" spans="1:40" ht="14.25" x14ac:dyDescent="0.2">
      <c r="A39" s="2" t="s">
        <v>34</v>
      </c>
      <c r="B39" s="202">
        <v>452451</v>
      </c>
      <c r="C39" s="84">
        <f t="shared" si="27"/>
        <v>2.6954642136719592E-4</v>
      </c>
      <c r="D39" s="201">
        <v>5488</v>
      </c>
      <c r="E39" s="78">
        <f t="shared" si="28"/>
        <v>1.1793380320613187E-3</v>
      </c>
      <c r="F39" s="35">
        <f t="shared" si="29"/>
        <v>1.0024373272521209E-3</v>
      </c>
      <c r="G39" s="36">
        <v>264.23</v>
      </c>
      <c r="H39" s="78">
        <f t="shared" si="30"/>
        <v>4.114441357493147E-3</v>
      </c>
      <c r="I39" s="37">
        <f t="shared" si="31"/>
        <v>6.1716620362397201E-4</v>
      </c>
      <c r="J39" s="84">
        <f t="shared" si="32"/>
        <v>1.6196035308760929E-3</v>
      </c>
      <c r="K39" s="38">
        <v>549</v>
      </c>
      <c r="L39" s="39">
        <v>170</v>
      </c>
      <c r="M39" s="39">
        <v>368</v>
      </c>
      <c r="N39" s="39">
        <v>141</v>
      </c>
      <c r="O39" s="40">
        <f t="shared" si="33"/>
        <v>3.2104437078812008E-4</v>
      </c>
      <c r="P39" s="40">
        <f t="shared" si="34"/>
        <v>4.8315769130202469E-4</v>
      </c>
      <c r="Q39" s="40">
        <f t="shared" si="35"/>
        <v>2.7536830510808204E-4</v>
      </c>
      <c r="R39" s="40">
        <f t="shared" si="36"/>
        <v>9.0054415859796135E-4</v>
      </c>
      <c r="S39" s="200">
        <f t="shared" si="37"/>
        <v>1.9801145257961881E-3</v>
      </c>
      <c r="T39" s="199">
        <v>273.99999999933596</v>
      </c>
      <c r="U39" s="199">
        <v>118</v>
      </c>
      <c r="V39" s="199">
        <v>143</v>
      </c>
      <c r="W39" s="199">
        <v>8</v>
      </c>
      <c r="X39" s="40">
        <f t="shared" si="38"/>
        <v>2.1549147786538184E-4</v>
      </c>
      <c r="Y39" s="40">
        <f t="shared" si="39"/>
        <v>4.0277436443570628E-4</v>
      </c>
      <c r="Z39" s="40">
        <f t="shared" si="40"/>
        <v>2.9037655544364666E-4</v>
      </c>
      <c r="AA39" s="40">
        <f t="shared" si="41"/>
        <v>1.4570887367040654E-4</v>
      </c>
      <c r="AB39" s="34">
        <f t="shared" si="42"/>
        <v>1.0543512714151413E-3</v>
      </c>
      <c r="AC39" s="198">
        <f t="shared" si="43"/>
        <v>8.9619858070287008E-4</v>
      </c>
      <c r="AD39" s="78">
        <f t="shared" si="44"/>
        <v>-0.46753015662505931</v>
      </c>
      <c r="AE39" s="197">
        <f t="shared" si="45"/>
        <v>-0.46753015662505931</v>
      </c>
      <c r="AF39" s="78">
        <f t="shared" si="46"/>
        <v>8.7119766913229382E-2</v>
      </c>
      <c r="AG39" s="35">
        <f t="shared" si="47"/>
        <v>1.3067965036984408E-2</v>
      </c>
      <c r="AH39" s="84">
        <f t="shared" si="48"/>
        <v>1.3964163617687278E-2</v>
      </c>
      <c r="AJ39" s="47">
        <f t="shared" si="49"/>
        <v>71086.129975063741</v>
      </c>
      <c r="AK39" s="48">
        <f t="shared" si="50"/>
        <v>213564.97059014879</v>
      </c>
      <c r="AL39" s="48">
        <f t="shared" si="51"/>
        <v>1841349.5250372884</v>
      </c>
      <c r="AM39" s="48">
        <f t="shared" si="52"/>
        <v>2126000.625602501</v>
      </c>
      <c r="AN39" s="196">
        <f t="shared" si="53"/>
        <v>4.0307149978244406E-3</v>
      </c>
    </row>
    <row r="40" spans="1:40" ht="14.25" x14ac:dyDescent="0.2">
      <c r="A40" s="2" t="s">
        <v>35</v>
      </c>
      <c r="B40" s="202">
        <v>46989</v>
      </c>
      <c r="C40" s="84">
        <f t="shared" si="27"/>
        <v>2.799356569799419E-5</v>
      </c>
      <c r="D40" s="201">
        <v>862</v>
      </c>
      <c r="E40" s="78">
        <f t="shared" si="28"/>
        <v>1.8523859031283833E-4</v>
      </c>
      <c r="F40" s="35">
        <f t="shared" si="29"/>
        <v>1.5745280176591257E-4</v>
      </c>
      <c r="G40" s="36">
        <v>207.92</v>
      </c>
      <c r="H40" s="78">
        <f t="shared" si="30"/>
        <v>3.2376136208983647E-3</v>
      </c>
      <c r="I40" s="37">
        <f t="shared" si="31"/>
        <v>4.8564204313475466E-4</v>
      </c>
      <c r="J40" s="84">
        <f t="shared" si="32"/>
        <v>6.430948449006672E-4</v>
      </c>
      <c r="K40" s="38">
        <v>166</v>
      </c>
      <c r="L40" s="39">
        <v>24</v>
      </c>
      <c r="M40" s="39">
        <v>127</v>
      </c>
      <c r="N40" s="39">
        <v>48</v>
      </c>
      <c r="O40" s="40">
        <f t="shared" si="33"/>
        <v>9.7073525593493502E-5</v>
      </c>
      <c r="P40" s="40">
        <f t="shared" si="34"/>
        <v>6.821049759557996E-5</v>
      </c>
      <c r="Q40" s="40">
        <f t="shared" si="35"/>
        <v>9.5031996599800059E-5</v>
      </c>
      <c r="R40" s="40">
        <f t="shared" si="36"/>
        <v>3.0656822420356133E-4</v>
      </c>
      <c r="S40" s="200">
        <f t="shared" si="37"/>
        <v>5.668842439924349E-4</v>
      </c>
      <c r="T40" s="199">
        <v>122.00000000265999</v>
      </c>
      <c r="U40" s="199">
        <v>28</v>
      </c>
      <c r="V40" s="199">
        <v>16</v>
      </c>
      <c r="W40" s="199">
        <v>3</v>
      </c>
      <c r="X40" s="40">
        <f t="shared" si="38"/>
        <v>9.5948760219757314E-5</v>
      </c>
      <c r="Y40" s="40">
        <f t="shared" si="39"/>
        <v>9.5573578001693018E-5</v>
      </c>
      <c r="Z40" s="40">
        <f t="shared" si="40"/>
        <v>3.2489684525163258E-5</v>
      </c>
      <c r="AA40" s="40">
        <f t="shared" si="41"/>
        <v>5.4640827626402448E-5</v>
      </c>
      <c r="AB40" s="34">
        <f t="shared" si="42"/>
        <v>2.7865285037301604E-4</v>
      </c>
      <c r="AC40" s="198">
        <f t="shared" si="43"/>
        <v>2.3685492281706362E-4</v>
      </c>
      <c r="AD40" s="78">
        <f t="shared" si="44"/>
        <v>-0.50844841195350865</v>
      </c>
      <c r="AE40" s="197">
        <f t="shared" si="45"/>
        <v>-0.50844841195350865</v>
      </c>
      <c r="AF40" s="78">
        <f t="shared" si="46"/>
        <v>9.474449189876509E-2</v>
      </c>
      <c r="AG40" s="35">
        <f t="shared" si="47"/>
        <v>1.4211673784814763E-2</v>
      </c>
      <c r="AH40" s="84">
        <f t="shared" si="48"/>
        <v>1.4448528707631827E-2</v>
      </c>
      <c r="AJ40" s="47">
        <f t="shared" si="49"/>
        <v>7382.603113703517</v>
      </c>
      <c r="AK40" s="48">
        <f t="shared" si="50"/>
        <v>84800.093985714222</v>
      </c>
      <c r="AL40" s="48">
        <f t="shared" si="51"/>
        <v>1905219.1167101015</v>
      </c>
      <c r="AM40" s="48">
        <f t="shared" si="52"/>
        <v>1997401.8138095192</v>
      </c>
      <c r="AN40" s="196">
        <f t="shared" si="53"/>
        <v>3.7869026709821201E-3</v>
      </c>
    </row>
    <row r="41" spans="1:40" ht="14.25" x14ac:dyDescent="0.2">
      <c r="A41" s="2" t="s">
        <v>36</v>
      </c>
      <c r="B41" s="202">
        <v>110800</v>
      </c>
      <c r="C41" s="84">
        <f t="shared" si="27"/>
        <v>6.6008790979543212E-5</v>
      </c>
      <c r="D41" s="201">
        <v>7095</v>
      </c>
      <c r="E41" s="78">
        <f t="shared" si="28"/>
        <v>1.5246726198023062E-3</v>
      </c>
      <c r="F41" s="35">
        <f t="shared" si="29"/>
        <v>1.2959717268319602E-3</v>
      </c>
      <c r="G41" s="36">
        <v>1006.78</v>
      </c>
      <c r="H41" s="78">
        <f t="shared" si="30"/>
        <v>1.5677013472720547E-2</v>
      </c>
      <c r="I41" s="37">
        <f t="shared" si="31"/>
        <v>2.3515520209080819E-3</v>
      </c>
      <c r="J41" s="84">
        <f t="shared" si="32"/>
        <v>3.6475237477400424E-3</v>
      </c>
      <c r="K41" s="38">
        <v>1457</v>
      </c>
      <c r="L41" s="39">
        <v>857</v>
      </c>
      <c r="M41" s="39">
        <v>6591</v>
      </c>
      <c r="N41" s="39">
        <v>540</v>
      </c>
      <c r="O41" s="40">
        <f t="shared" si="33"/>
        <v>8.5202486017903634E-4</v>
      </c>
      <c r="P41" s="40">
        <f t="shared" si="34"/>
        <v>2.4356831849755012E-3</v>
      </c>
      <c r="Q41" s="40">
        <f t="shared" si="35"/>
        <v>4.9319361384982845E-3</v>
      </c>
      <c r="R41" s="40">
        <f t="shared" si="36"/>
        <v>3.4488925222900648E-3</v>
      </c>
      <c r="S41" s="200">
        <f t="shared" si="37"/>
        <v>1.1668536705942888E-2</v>
      </c>
      <c r="T41" s="199">
        <v>1103.9999999949041</v>
      </c>
      <c r="U41" s="199">
        <v>656</v>
      </c>
      <c r="V41" s="199">
        <v>3161</v>
      </c>
      <c r="W41" s="199">
        <v>242</v>
      </c>
      <c r="X41" s="40">
        <f t="shared" si="38"/>
        <v>8.6825763344109482E-4</v>
      </c>
      <c r="Y41" s="40">
        <f t="shared" si="39"/>
        <v>2.2391523988968078E-3</v>
      </c>
      <c r="Z41" s="40">
        <f t="shared" si="40"/>
        <v>6.4187432990025668E-3</v>
      </c>
      <c r="AA41" s="40">
        <f t="shared" si="41"/>
        <v>4.4076934285297974E-3</v>
      </c>
      <c r="AB41" s="34">
        <f t="shared" si="42"/>
        <v>1.3933846759870267E-2</v>
      </c>
      <c r="AC41" s="198">
        <f t="shared" si="43"/>
        <v>1.1843769745889727E-2</v>
      </c>
      <c r="AD41" s="78">
        <f t="shared" si="44"/>
        <v>0.19413831494172162</v>
      </c>
      <c r="AE41" s="197">
        <f t="shared" si="45"/>
        <v>0</v>
      </c>
      <c r="AF41" s="78">
        <f t="shared" si="46"/>
        <v>0</v>
      </c>
      <c r="AG41" s="35">
        <f t="shared" si="47"/>
        <v>0</v>
      </c>
      <c r="AH41" s="84">
        <f t="shared" si="48"/>
        <v>1.1843769745889727E-2</v>
      </c>
      <c r="AJ41" s="47">
        <f t="shared" si="49"/>
        <v>17408.168401080031</v>
      </c>
      <c r="AK41" s="48">
        <f t="shared" si="50"/>
        <v>480971.6001863713</v>
      </c>
      <c r="AL41" s="48">
        <f t="shared" si="51"/>
        <v>1561749.0881173839</v>
      </c>
      <c r="AM41" s="48">
        <f t="shared" si="52"/>
        <v>2060128.8567048353</v>
      </c>
      <c r="AN41" s="196">
        <f t="shared" si="53"/>
        <v>3.9058277688972134E-3</v>
      </c>
    </row>
    <row r="42" spans="1:40" ht="14.25" x14ac:dyDescent="0.2">
      <c r="A42" s="2" t="s">
        <v>37</v>
      </c>
      <c r="B42" s="202">
        <v>289580</v>
      </c>
      <c r="C42" s="84">
        <f t="shared" si="27"/>
        <v>1.7251647736332243E-4</v>
      </c>
      <c r="D42" s="201">
        <v>5447</v>
      </c>
      <c r="E42" s="78">
        <f t="shared" si="28"/>
        <v>1.1705273798538634E-3</v>
      </c>
      <c r="F42" s="35">
        <f t="shared" si="29"/>
        <v>9.9494827287578387E-4</v>
      </c>
      <c r="G42" s="36">
        <v>3872.26</v>
      </c>
      <c r="H42" s="78">
        <f t="shared" si="30"/>
        <v>6.0296660829453175E-2</v>
      </c>
      <c r="I42" s="37">
        <f t="shared" si="31"/>
        <v>9.0444991244179752E-3</v>
      </c>
      <c r="J42" s="84">
        <f t="shared" si="32"/>
        <v>1.0039447397293759E-2</v>
      </c>
      <c r="K42" s="38">
        <v>871</v>
      </c>
      <c r="L42" s="39">
        <v>298</v>
      </c>
      <c r="M42" s="39">
        <v>2364</v>
      </c>
      <c r="N42" s="39">
        <v>407</v>
      </c>
      <c r="O42" s="40">
        <f t="shared" si="33"/>
        <v>5.0934361922851112E-4</v>
      </c>
      <c r="P42" s="40">
        <f t="shared" si="34"/>
        <v>8.4694701181178454E-4</v>
      </c>
      <c r="Q42" s="40">
        <f t="shared" si="35"/>
        <v>1.7689420469443097E-3</v>
      </c>
      <c r="R42" s="40">
        <f t="shared" si="36"/>
        <v>2.5994430677260304E-3</v>
      </c>
      <c r="S42" s="200">
        <f t="shared" si="37"/>
        <v>5.7246757457106359E-3</v>
      </c>
      <c r="T42" s="199">
        <v>541.99999999184001</v>
      </c>
      <c r="U42" s="199">
        <v>247</v>
      </c>
      <c r="V42" s="199">
        <v>493</v>
      </c>
      <c r="W42" s="199">
        <v>128</v>
      </c>
      <c r="X42" s="40">
        <f t="shared" si="38"/>
        <v>4.2626416423927597E-4</v>
      </c>
      <c r="Y42" s="40">
        <f t="shared" si="39"/>
        <v>8.4309549165779193E-4</v>
      </c>
      <c r="Z42" s="40">
        <f t="shared" si="40"/>
        <v>1.0010884044315931E-3</v>
      </c>
      <c r="AA42" s="40">
        <f t="shared" si="41"/>
        <v>2.3313419787265046E-3</v>
      </c>
      <c r="AB42" s="34">
        <f t="shared" si="42"/>
        <v>4.6017900390551651E-3</v>
      </c>
      <c r="AC42" s="198">
        <f t="shared" si="43"/>
        <v>3.9115215331968906E-3</v>
      </c>
      <c r="AD42" s="78">
        <f t="shared" si="44"/>
        <v>-0.19614835084708904</v>
      </c>
      <c r="AE42" s="197">
        <f t="shared" si="45"/>
        <v>-0.19614835084708904</v>
      </c>
      <c r="AF42" s="78">
        <f t="shared" si="46"/>
        <v>3.655036656794089E-2</v>
      </c>
      <c r="AG42" s="35">
        <f t="shared" si="47"/>
        <v>5.4825549851911333E-3</v>
      </c>
      <c r="AH42" s="84">
        <f t="shared" si="48"/>
        <v>9.3940765183880247E-3</v>
      </c>
      <c r="AJ42" s="47">
        <f t="shared" si="49"/>
        <v>45496.907992642205</v>
      </c>
      <c r="AK42" s="48">
        <f t="shared" si="50"/>
        <v>1323826.6324256482</v>
      </c>
      <c r="AL42" s="48">
        <f t="shared" si="51"/>
        <v>1238726.4149059409</v>
      </c>
      <c r="AM42" s="48">
        <f t="shared" si="52"/>
        <v>2608049.9553242312</v>
      </c>
      <c r="AN42" s="196">
        <f t="shared" si="53"/>
        <v>4.9446392176021063E-3</v>
      </c>
    </row>
    <row r="43" spans="1:40" ht="14.25" x14ac:dyDescent="0.2">
      <c r="A43" s="2" t="s">
        <v>38</v>
      </c>
      <c r="B43" s="202">
        <v>8377026.5700000003</v>
      </c>
      <c r="C43" s="84">
        <f t="shared" si="27"/>
        <v>4.9905902156065877E-3</v>
      </c>
      <c r="D43" s="201">
        <v>59113</v>
      </c>
      <c r="E43" s="78">
        <f t="shared" si="28"/>
        <v>1.2703026437543865E-2</v>
      </c>
      <c r="F43" s="35">
        <f t="shared" si="29"/>
        <v>1.0797572471912285E-2</v>
      </c>
      <c r="G43" s="36">
        <v>1869.3</v>
      </c>
      <c r="H43" s="78">
        <f t="shared" si="30"/>
        <v>2.9107691138636562E-2</v>
      </c>
      <c r="I43" s="37">
        <f t="shared" si="31"/>
        <v>4.3661536707954845E-3</v>
      </c>
      <c r="J43" s="84">
        <f t="shared" si="32"/>
        <v>1.516372614270777E-2</v>
      </c>
      <c r="K43" s="38">
        <v>9097</v>
      </c>
      <c r="L43" s="39">
        <v>1608</v>
      </c>
      <c r="M43" s="39">
        <v>18077</v>
      </c>
      <c r="N43" s="39">
        <v>1611</v>
      </c>
      <c r="O43" s="40">
        <f t="shared" si="33"/>
        <v>5.3197461585783755E-3</v>
      </c>
      <c r="P43" s="40">
        <f t="shared" si="34"/>
        <v>4.5701033389038571E-3</v>
      </c>
      <c r="Q43" s="40">
        <f t="shared" si="35"/>
        <v>1.3526719704996738E-2</v>
      </c>
      <c r="R43" s="40">
        <f t="shared" si="36"/>
        <v>1.0289196024832026E-2</v>
      </c>
      <c r="S43" s="200">
        <f t="shared" si="37"/>
        <v>3.3705765227310995E-2</v>
      </c>
      <c r="T43" s="199">
        <v>5867.9999999965466</v>
      </c>
      <c r="U43" s="199">
        <v>1434</v>
      </c>
      <c r="V43" s="199">
        <v>7372</v>
      </c>
      <c r="W43" s="199">
        <v>494</v>
      </c>
      <c r="X43" s="40">
        <f t="shared" si="38"/>
        <v>4.6149780734174488E-3</v>
      </c>
      <c r="Y43" s="40">
        <f t="shared" si="39"/>
        <v>4.8947325305152781E-3</v>
      </c>
      <c r="Z43" s="40">
        <f t="shared" si="40"/>
        <v>1.4969622144968973E-2</v>
      </c>
      <c r="AA43" s="40">
        <f t="shared" si="41"/>
        <v>8.9975229491476034E-3</v>
      </c>
      <c r="AB43" s="34">
        <f t="shared" si="42"/>
        <v>3.3476855698049306E-2</v>
      </c>
      <c r="AC43" s="198">
        <f t="shared" si="43"/>
        <v>2.8455327343341909E-2</v>
      </c>
      <c r="AD43" s="78">
        <f t="shared" si="44"/>
        <v>-6.7914057941698752E-3</v>
      </c>
      <c r="AE43" s="197">
        <f t="shared" si="45"/>
        <v>-6.7914057941698752E-3</v>
      </c>
      <c r="AF43" s="78">
        <f t="shared" si="46"/>
        <v>1.2655134249997214E-3</v>
      </c>
      <c r="AG43" s="35">
        <f t="shared" si="47"/>
        <v>1.898270137499582E-4</v>
      </c>
      <c r="AH43" s="84">
        <f t="shared" si="48"/>
        <v>2.8645154357091869E-2</v>
      </c>
      <c r="AJ43" s="47">
        <f t="shared" si="49"/>
        <v>1316143.4046108471</v>
      </c>
      <c r="AK43" s="48">
        <f t="shared" si="50"/>
        <v>1999526.838492803</v>
      </c>
      <c r="AL43" s="48">
        <f t="shared" si="51"/>
        <v>3777221.6664120262</v>
      </c>
      <c r="AM43" s="48">
        <f t="shared" si="52"/>
        <v>7092891.909515677</v>
      </c>
      <c r="AN43" s="196">
        <f t="shared" si="53"/>
        <v>1.3447515232753204E-2</v>
      </c>
    </row>
    <row r="44" spans="1:40" ht="14.25" x14ac:dyDescent="0.2">
      <c r="A44" s="2" t="s">
        <v>39</v>
      </c>
      <c r="B44" s="202">
        <v>741051550.4000001</v>
      </c>
      <c r="C44" s="84">
        <f t="shared" si="27"/>
        <v>0.44147939436299677</v>
      </c>
      <c r="D44" s="201">
        <v>1135550</v>
      </c>
      <c r="E44" s="78">
        <f t="shared" si="28"/>
        <v>0.24402283205306677</v>
      </c>
      <c r="F44" s="35">
        <f t="shared" si="29"/>
        <v>0.20741940724510674</v>
      </c>
      <c r="G44" s="36">
        <v>323.60000000000002</v>
      </c>
      <c r="H44" s="78">
        <f t="shared" si="30"/>
        <v>5.0389176977814112E-3</v>
      </c>
      <c r="I44" s="37">
        <f t="shared" si="31"/>
        <v>7.558376546672117E-4</v>
      </c>
      <c r="J44" s="84">
        <f t="shared" si="32"/>
        <v>0.20817524489977396</v>
      </c>
      <c r="K44" s="38">
        <v>123398</v>
      </c>
      <c r="L44" s="39">
        <v>25536</v>
      </c>
      <c r="M44" s="39">
        <v>28126</v>
      </c>
      <c r="N44" s="39">
        <v>2378</v>
      </c>
      <c r="O44" s="40">
        <f t="shared" si="33"/>
        <v>7.2160716332445252E-2</v>
      </c>
      <c r="P44" s="40">
        <f t="shared" si="34"/>
        <v>7.2575969441697072E-2</v>
      </c>
      <c r="Q44" s="40">
        <f t="shared" si="35"/>
        <v>2.104621997138564E-2</v>
      </c>
      <c r="R44" s="40">
        <f t="shared" si="36"/>
        <v>1.5187900774084766E-2</v>
      </c>
      <c r="S44" s="200">
        <f t="shared" si="37"/>
        <v>0.18097080651961275</v>
      </c>
      <c r="T44" s="199">
        <v>88873.999998769097</v>
      </c>
      <c r="U44" s="199">
        <v>19246</v>
      </c>
      <c r="V44" s="199">
        <v>4982</v>
      </c>
      <c r="W44" s="199">
        <v>694</v>
      </c>
      <c r="X44" s="40">
        <f t="shared" si="38"/>
        <v>6.9896312421858064E-2</v>
      </c>
      <c r="Y44" s="40">
        <f t="shared" si="39"/>
        <v>6.5693181507877993E-2</v>
      </c>
      <c r="Z44" s="40">
        <f t="shared" si="40"/>
        <v>1.011647551902271E-2</v>
      </c>
      <c r="AA44" s="40">
        <f t="shared" si="41"/>
        <v>1.2640244790907766E-2</v>
      </c>
      <c r="AB44" s="34">
        <f t="shared" si="42"/>
        <v>0.15834621423966655</v>
      </c>
      <c r="AC44" s="198">
        <f t="shared" si="43"/>
        <v>0.13459428210371657</v>
      </c>
      <c r="AD44" s="78">
        <f t="shared" si="44"/>
        <v>-0.12501791153532965</v>
      </c>
      <c r="AE44" s="197">
        <f t="shared" si="45"/>
        <v>-0.12501791153532965</v>
      </c>
      <c r="AF44" s="78">
        <f t="shared" si="46"/>
        <v>2.329589045455142E-2</v>
      </c>
      <c r="AG44" s="35">
        <f t="shared" si="47"/>
        <v>3.4943835681827129E-3</v>
      </c>
      <c r="AH44" s="84">
        <f t="shared" si="48"/>
        <v>0.13808866567189929</v>
      </c>
      <c r="AJ44" s="47">
        <f t="shared" si="49"/>
        <v>116429153.2783813</v>
      </c>
      <c r="AK44" s="48">
        <f t="shared" si="50"/>
        <v>27450508.230596442</v>
      </c>
      <c r="AL44" s="48">
        <f t="shared" si="51"/>
        <v>18208716.677160818</v>
      </c>
      <c r="AM44" s="48">
        <f t="shared" si="52"/>
        <v>162088378.18613857</v>
      </c>
      <c r="AN44" s="196">
        <f t="shared" si="53"/>
        <v>0.30730567482441667</v>
      </c>
    </row>
    <row r="45" spans="1:40" ht="14.25" x14ac:dyDescent="0.2">
      <c r="A45" s="2" t="s">
        <v>40</v>
      </c>
      <c r="B45" s="202">
        <v>57028</v>
      </c>
      <c r="C45" s="84">
        <f t="shared" si="27"/>
        <v>3.3974271949290531E-5</v>
      </c>
      <c r="D45" s="201">
        <v>1034</v>
      </c>
      <c r="E45" s="78">
        <f t="shared" si="28"/>
        <v>2.2220035079289422E-4</v>
      </c>
      <c r="F45" s="35">
        <f t="shared" si="29"/>
        <v>1.8887029817396008E-4</v>
      </c>
      <c r="G45" s="36">
        <v>1172.6600000000001</v>
      </c>
      <c r="H45" s="78">
        <f t="shared" si="30"/>
        <v>1.8260003793202563E-2</v>
      </c>
      <c r="I45" s="37">
        <f t="shared" si="31"/>
        <v>2.7390005689803842E-3</v>
      </c>
      <c r="J45" s="84">
        <f t="shared" si="32"/>
        <v>2.9278708671543444E-3</v>
      </c>
      <c r="K45" s="38">
        <v>244</v>
      </c>
      <c r="L45" s="39">
        <v>60</v>
      </c>
      <c r="M45" s="39">
        <v>375</v>
      </c>
      <c r="N45" s="39">
        <v>47</v>
      </c>
      <c r="O45" s="40">
        <f t="shared" si="33"/>
        <v>1.4268638701694225E-4</v>
      </c>
      <c r="P45" s="40">
        <f t="shared" si="34"/>
        <v>1.7052624398894989E-4</v>
      </c>
      <c r="Q45" s="40">
        <f t="shared" si="35"/>
        <v>2.8060628917263796E-4</v>
      </c>
      <c r="R45" s="40">
        <f t="shared" si="36"/>
        <v>3.0018138619932047E-4</v>
      </c>
      <c r="S45" s="200">
        <f t="shared" si="37"/>
        <v>8.9400030637785065E-4</v>
      </c>
      <c r="T45" s="199">
        <v>95.999999999399989</v>
      </c>
      <c r="U45" s="199">
        <v>43</v>
      </c>
      <c r="V45" s="199">
        <v>84</v>
      </c>
      <c r="W45" s="199">
        <v>27</v>
      </c>
      <c r="X45" s="40">
        <f t="shared" si="38"/>
        <v>7.5500663777363118E-5</v>
      </c>
      <c r="Y45" s="40">
        <f t="shared" si="39"/>
        <v>1.4677370907402855E-4</v>
      </c>
      <c r="Z45" s="40">
        <f t="shared" si="40"/>
        <v>1.7057084375710711E-4</v>
      </c>
      <c r="AA45" s="40">
        <f t="shared" si="41"/>
        <v>4.91767448637622E-4</v>
      </c>
      <c r="AB45" s="34">
        <f t="shared" si="42"/>
        <v>8.8461266524612078E-4</v>
      </c>
      <c r="AC45" s="198">
        <f t="shared" si="43"/>
        <v>7.5192076545920264E-4</v>
      </c>
      <c r="AD45" s="78">
        <f t="shared" si="44"/>
        <v>-1.0500713550943872E-2</v>
      </c>
      <c r="AE45" s="197">
        <f t="shared" si="45"/>
        <v>-1.0500713550943872E-2</v>
      </c>
      <c r="AF45" s="78">
        <f t="shared" si="46"/>
        <v>1.9567073995495625E-3</v>
      </c>
      <c r="AG45" s="35">
        <f t="shared" si="47"/>
        <v>2.9350610993243438E-4</v>
      </c>
      <c r="AH45" s="84">
        <f t="shared" si="48"/>
        <v>1.0454268753916371E-3</v>
      </c>
      <c r="AJ45" s="47">
        <f t="shared" si="49"/>
        <v>8959.8648698266443</v>
      </c>
      <c r="AK45" s="48">
        <f t="shared" si="50"/>
        <v>386076.37222013972</v>
      </c>
      <c r="AL45" s="48">
        <f t="shared" si="51"/>
        <v>137852.60135632975</v>
      </c>
      <c r="AM45" s="48">
        <f t="shared" si="52"/>
        <v>532888.83844629605</v>
      </c>
      <c r="AN45" s="196">
        <f t="shared" si="53"/>
        <v>1.0103115716111404E-3</v>
      </c>
    </row>
    <row r="46" spans="1:40" ht="14.25" x14ac:dyDescent="0.2">
      <c r="A46" s="2" t="s">
        <v>41</v>
      </c>
      <c r="B46" s="202">
        <v>3650539.3299999996</v>
      </c>
      <c r="C46" s="84">
        <f t="shared" si="27"/>
        <v>2.1747986245177955E-3</v>
      </c>
      <c r="D46" s="201">
        <v>20843</v>
      </c>
      <c r="E46" s="78">
        <f t="shared" si="28"/>
        <v>4.4790347307314257E-3</v>
      </c>
      <c r="F46" s="35">
        <f t="shared" si="29"/>
        <v>3.8071795211217117E-3</v>
      </c>
      <c r="G46" s="36">
        <v>308.89</v>
      </c>
      <c r="H46" s="78">
        <f t="shared" si="30"/>
        <v>4.8098618283921504E-3</v>
      </c>
      <c r="I46" s="37">
        <f t="shared" si="31"/>
        <v>7.2147927425882249E-4</v>
      </c>
      <c r="J46" s="84">
        <f t="shared" si="32"/>
        <v>4.5286587953805345E-3</v>
      </c>
      <c r="K46" s="38">
        <v>1423</v>
      </c>
      <c r="L46" s="39">
        <v>462</v>
      </c>
      <c r="M46" s="39">
        <v>3867</v>
      </c>
      <c r="N46" s="39">
        <v>358</v>
      </c>
      <c r="O46" s="40">
        <f t="shared" si="33"/>
        <v>8.3214233084060992E-4</v>
      </c>
      <c r="P46" s="40">
        <f t="shared" si="34"/>
        <v>1.3130520787149142E-3</v>
      </c>
      <c r="Q46" s="40">
        <f t="shared" si="35"/>
        <v>2.8936120539482428E-3</v>
      </c>
      <c r="R46" s="40">
        <f t="shared" si="36"/>
        <v>2.286488005518228E-3</v>
      </c>
      <c r="S46" s="200">
        <f t="shared" si="37"/>
        <v>7.3252944690219944E-3</v>
      </c>
      <c r="T46" s="199">
        <v>502.9999955589883</v>
      </c>
      <c r="U46" s="199">
        <v>435</v>
      </c>
      <c r="V46" s="199">
        <v>1115</v>
      </c>
      <c r="W46" s="199">
        <v>155</v>
      </c>
      <c r="X46" s="40">
        <f t="shared" si="38"/>
        <v>3.9559201609324664E-4</v>
      </c>
      <c r="Y46" s="40">
        <f t="shared" si="39"/>
        <v>1.4848038010977307E-3</v>
      </c>
      <c r="Z46" s="40">
        <f t="shared" si="40"/>
        <v>2.2641248903473147E-3</v>
      </c>
      <c r="AA46" s="40">
        <f t="shared" si="41"/>
        <v>2.8231094273641266E-3</v>
      </c>
      <c r="AB46" s="34">
        <f t="shared" si="42"/>
        <v>6.9676301349024189E-3</v>
      </c>
      <c r="AC46" s="198">
        <f t="shared" si="43"/>
        <v>5.9224856146670559E-3</v>
      </c>
      <c r="AD46" s="78">
        <f t="shared" si="44"/>
        <v>-4.8825932613645158E-2</v>
      </c>
      <c r="AE46" s="197">
        <f t="shared" si="45"/>
        <v>-4.8825932613645158E-2</v>
      </c>
      <c r="AF46" s="78">
        <f t="shared" si="46"/>
        <v>9.0982449117888945E-3</v>
      </c>
      <c r="AG46" s="35">
        <f t="shared" si="47"/>
        <v>1.3647367367683341E-3</v>
      </c>
      <c r="AH46" s="84">
        <f t="shared" si="48"/>
        <v>7.2872223514353898E-3</v>
      </c>
      <c r="AJ46" s="47">
        <f t="shared" si="49"/>
        <v>573548.76725095557</v>
      </c>
      <c r="AK46" s="48">
        <f t="shared" si="50"/>
        <v>597160.27040586562</v>
      </c>
      <c r="AL46" s="48">
        <f t="shared" si="51"/>
        <v>960911.35731614893</v>
      </c>
      <c r="AM46" s="48">
        <f t="shared" si="52"/>
        <v>2131620.3949729702</v>
      </c>
      <c r="AN46" s="196">
        <f t="shared" si="53"/>
        <v>4.0413695989628788E-3</v>
      </c>
    </row>
    <row r="47" spans="1:40" ht="14.25" x14ac:dyDescent="0.2">
      <c r="A47" s="2" t="s">
        <v>42</v>
      </c>
      <c r="B47" s="202">
        <v>206988</v>
      </c>
      <c r="C47" s="84">
        <f t="shared" si="27"/>
        <v>1.2331252371185642E-4</v>
      </c>
      <c r="D47" s="201">
        <v>5359</v>
      </c>
      <c r="E47" s="78">
        <f t="shared" si="28"/>
        <v>1.1516167117012767E-3</v>
      </c>
      <c r="F47" s="35">
        <f t="shared" si="29"/>
        <v>9.788742049460853E-4</v>
      </c>
      <c r="G47" s="36">
        <v>1341.58</v>
      </c>
      <c r="H47" s="78">
        <f t="shared" si="30"/>
        <v>2.089033128859575E-2</v>
      </c>
      <c r="I47" s="37">
        <f t="shared" si="31"/>
        <v>3.1335496932893623E-3</v>
      </c>
      <c r="J47" s="84">
        <f t="shared" si="32"/>
        <v>4.1124238982354474E-3</v>
      </c>
      <c r="K47" s="38">
        <v>1104</v>
      </c>
      <c r="L47" s="39">
        <v>274</v>
      </c>
      <c r="M47" s="39">
        <v>2326</v>
      </c>
      <c r="N47" s="39">
        <v>140</v>
      </c>
      <c r="O47" s="40">
        <f t="shared" si="33"/>
        <v>6.4559742322419769E-4</v>
      </c>
      <c r="P47" s="40">
        <f t="shared" si="34"/>
        <v>7.7873651421620459E-4</v>
      </c>
      <c r="Q47" s="40">
        <f t="shared" si="35"/>
        <v>1.7405072763081492E-3</v>
      </c>
      <c r="R47" s="40">
        <f t="shared" si="36"/>
        <v>8.9415732059372043E-4</v>
      </c>
      <c r="S47" s="200">
        <f t="shared" si="37"/>
        <v>4.0589985343422721E-3</v>
      </c>
      <c r="T47" s="199">
        <v>511.00000000414997</v>
      </c>
      <c r="U47" s="199">
        <v>264</v>
      </c>
      <c r="V47" s="199">
        <v>999</v>
      </c>
      <c r="W47" s="199">
        <v>49</v>
      </c>
      <c r="X47" s="40">
        <f t="shared" si="38"/>
        <v>4.0188374157069809E-4</v>
      </c>
      <c r="Y47" s="40">
        <f t="shared" si="39"/>
        <v>9.0112230687310556E-4</v>
      </c>
      <c r="Z47" s="40">
        <f t="shared" si="40"/>
        <v>2.028574677539881E-3</v>
      </c>
      <c r="AA47" s="40">
        <f t="shared" si="41"/>
        <v>8.9246685123123997E-4</v>
      </c>
      <c r="AB47" s="34">
        <f t="shared" si="42"/>
        <v>4.2240475772149242E-3</v>
      </c>
      <c r="AC47" s="198">
        <f t="shared" si="43"/>
        <v>3.5904404406326856E-3</v>
      </c>
      <c r="AD47" s="78">
        <f t="shared" si="44"/>
        <v>4.066250368809185E-2</v>
      </c>
      <c r="AE47" s="197">
        <f t="shared" si="45"/>
        <v>0</v>
      </c>
      <c r="AF47" s="78">
        <f t="shared" si="46"/>
        <v>0</v>
      </c>
      <c r="AG47" s="35">
        <f t="shared" si="47"/>
        <v>0</v>
      </c>
      <c r="AH47" s="84">
        <f t="shared" si="48"/>
        <v>3.5904404406326856E-3</v>
      </c>
      <c r="AJ47" s="47">
        <f t="shared" si="49"/>
        <v>32520.59531590933</v>
      </c>
      <c r="AK47" s="48">
        <f t="shared" si="50"/>
        <v>542274.49628107168</v>
      </c>
      <c r="AL47" s="48">
        <f t="shared" si="51"/>
        <v>473444.45260292746</v>
      </c>
      <c r="AM47" s="48">
        <f t="shared" si="52"/>
        <v>1048239.5441999085</v>
      </c>
      <c r="AN47" s="196">
        <f t="shared" si="53"/>
        <v>1.9873723465729616E-3</v>
      </c>
    </row>
    <row r="48" spans="1:40" ht="14.25" x14ac:dyDescent="0.2">
      <c r="A48" s="2" t="s">
        <v>43</v>
      </c>
      <c r="B48" s="202">
        <v>65492</v>
      </c>
      <c r="C48" s="84">
        <f t="shared" si="27"/>
        <v>3.9016676343251303E-5</v>
      </c>
      <c r="D48" s="201">
        <v>2628</v>
      </c>
      <c r="E48" s="78">
        <f t="shared" si="28"/>
        <v>5.6474131710224952E-4</v>
      </c>
      <c r="F48" s="35">
        <f t="shared" si="29"/>
        <v>4.800301195369121E-4</v>
      </c>
      <c r="G48" s="36">
        <v>673.76</v>
      </c>
      <c r="H48" s="78">
        <f t="shared" si="30"/>
        <v>1.0491412818470961E-2</v>
      </c>
      <c r="I48" s="37">
        <f t="shared" si="31"/>
        <v>1.5737119227706442E-3</v>
      </c>
      <c r="J48" s="84">
        <f t="shared" si="32"/>
        <v>2.0537420423075562E-3</v>
      </c>
      <c r="K48" s="38">
        <v>671</v>
      </c>
      <c r="L48" s="39">
        <v>247</v>
      </c>
      <c r="M48" s="39">
        <v>1766</v>
      </c>
      <c r="N48" s="39">
        <v>574</v>
      </c>
      <c r="O48" s="40">
        <f t="shared" si="33"/>
        <v>3.9238756429659118E-4</v>
      </c>
      <c r="P48" s="40">
        <f t="shared" si="34"/>
        <v>7.0199970442117712E-4</v>
      </c>
      <c r="Q48" s="40">
        <f t="shared" si="35"/>
        <v>1.3214685511436764E-3</v>
      </c>
      <c r="R48" s="40">
        <f t="shared" si="36"/>
        <v>3.6660450144342539E-3</v>
      </c>
      <c r="S48" s="200">
        <f t="shared" si="37"/>
        <v>6.0819008342956988E-3</v>
      </c>
      <c r="T48" s="199">
        <v>600.99999999995009</v>
      </c>
      <c r="U48" s="199">
        <v>212</v>
      </c>
      <c r="V48" s="199">
        <v>872</v>
      </c>
      <c r="W48" s="199">
        <v>90</v>
      </c>
      <c r="X48" s="40">
        <f t="shared" si="38"/>
        <v>4.7266561385911533E-4</v>
      </c>
      <c r="Y48" s="40">
        <f t="shared" si="39"/>
        <v>7.2362851915567573E-4</v>
      </c>
      <c r="Z48" s="40">
        <f t="shared" si="40"/>
        <v>1.7706878066213977E-3</v>
      </c>
      <c r="AA48" s="40">
        <f t="shared" si="41"/>
        <v>1.6392248287920735E-3</v>
      </c>
      <c r="AB48" s="34">
        <f t="shared" si="42"/>
        <v>4.6062067684282618E-3</v>
      </c>
      <c r="AC48" s="198">
        <f t="shared" si="43"/>
        <v>3.9152757531640226E-3</v>
      </c>
      <c r="AD48" s="78">
        <f t="shared" si="44"/>
        <v>-0.24263698242924844</v>
      </c>
      <c r="AE48" s="197">
        <f t="shared" si="45"/>
        <v>-0.24263698242924844</v>
      </c>
      <c r="AF48" s="78">
        <f t="shared" si="46"/>
        <v>4.5213077818031917E-2</v>
      </c>
      <c r="AG48" s="35">
        <f t="shared" si="47"/>
        <v>6.7819616727047873E-3</v>
      </c>
      <c r="AH48" s="84">
        <f t="shared" si="48"/>
        <v>1.0697237425868811E-2</v>
      </c>
      <c r="AJ48" s="47">
        <f t="shared" si="49"/>
        <v>10289.672968623949</v>
      </c>
      <c r="AK48" s="48">
        <f t="shared" si="50"/>
        <v>270811.56005378009</v>
      </c>
      <c r="AL48" s="48">
        <f t="shared" si="51"/>
        <v>1410564.4700686259</v>
      </c>
      <c r="AM48" s="48">
        <f t="shared" si="52"/>
        <v>1691665.70309103</v>
      </c>
      <c r="AN48" s="196">
        <f t="shared" si="53"/>
        <v>3.207253205215717E-3</v>
      </c>
    </row>
    <row r="49" spans="1:40" ht="14.25" x14ac:dyDescent="0.2">
      <c r="A49" s="2" t="s">
        <v>44</v>
      </c>
      <c r="B49" s="202">
        <v>4730365.3</v>
      </c>
      <c r="C49" s="84">
        <f t="shared" si="27"/>
        <v>2.8181019345179083E-3</v>
      </c>
      <c r="D49" s="201">
        <v>34671</v>
      </c>
      <c r="E49" s="78">
        <f t="shared" si="28"/>
        <v>7.4505883581628971E-3</v>
      </c>
      <c r="F49" s="35">
        <f t="shared" si="29"/>
        <v>6.3330001044384623E-3</v>
      </c>
      <c r="G49" s="36">
        <v>1542.15</v>
      </c>
      <c r="H49" s="78">
        <f t="shared" si="30"/>
        <v>2.4013494831995066E-2</v>
      </c>
      <c r="I49" s="37">
        <f t="shared" si="31"/>
        <v>3.6020242247992596E-3</v>
      </c>
      <c r="J49" s="84">
        <f t="shared" si="32"/>
        <v>9.9350243292377211E-3</v>
      </c>
      <c r="K49" s="38">
        <v>4789</v>
      </c>
      <c r="L49" s="39">
        <v>909</v>
      </c>
      <c r="M49" s="39">
        <v>4749</v>
      </c>
      <c r="N49" s="39">
        <v>258</v>
      </c>
      <c r="O49" s="40">
        <f t="shared" si="33"/>
        <v>2.8005127353448217E-3</v>
      </c>
      <c r="P49" s="40">
        <f t="shared" si="34"/>
        <v>2.5834725964325911E-3</v>
      </c>
      <c r="Q49" s="40">
        <f t="shared" si="35"/>
        <v>3.5535980460822871E-3</v>
      </c>
      <c r="R49" s="40">
        <f t="shared" si="36"/>
        <v>1.6478042050941421E-3</v>
      </c>
      <c r="S49" s="200">
        <f t="shared" si="37"/>
        <v>1.0585387582953843E-2</v>
      </c>
      <c r="T49" s="199">
        <v>3480.0000000606401</v>
      </c>
      <c r="U49" s="199">
        <v>841</v>
      </c>
      <c r="V49" s="199">
        <v>1534</v>
      </c>
      <c r="W49" s="199">
        <v>182</v>
      </c>
      <c r="X49" s="40">
        <f t="shared" si="38"/>
        <v>2.7368990619942106E-3</v>
      </c>
      <c r="Y49" s="40">
        <f t="shared" si="39"/>
        <v>2.8706206821222796E-3</v>
      </c>
      <c r="Z49" s="40">
        <f t="shared" si="40"/>
        <v>3.1149485038500274E-3</v>
      </c>
      <c r="AA49" s="40">
        <f t="shared" si="41"/>
        <v>3.3148768760017486E-3</v>
      </c>
      <c r="AB49" s="34">
        <f t="shared" si="42"/>
        <v>1.2037345123968266E-2</v>
      </c>
      <c r="AC49" s="198">
        <f t="shared" si="43"/>
        <v>1.0231743355373026E-2</v>
      </c>
      <c r="AD49" s="78">
        <f t="shared" si="44"/>
        <v>0.1371662142397676</v>
      </c>
      <c r="AE49" s="197">
        <f t="shared" si="45"/>
        <v>0</v>
      </c>
      <c r="AF49" s="78">
        <f t="shared" si="46"/>
        <v>0</v>
      </c>
      <c r="AG49" s="35">
        <f t="shared" si="47"/>
        <v>0</v>
      </c>
      <c r="AH49" s="84">
        <f t="shared" si="48"/>
        <v>1.0231743355373026E-2</v>
      </c>
      <c r="AJ49" s="47">
        <f t="shared" si="49"/>
        <v>743203.93268073525</v>
      </c>
      <c r="AK49" s="48">
        <f t="shared" si="50"/>
        <v>1310057.1456141088</v>
      </c>
      <c r="AL49" s="48">
        <f t="shared" si="51"/>
        <v>1349183.2581978755</v>
      </c>
      <c r="AM49" s="48">
        <f t="shared" si="52"/>
        <v>3402444.3364927191</v>
      </c>
      <c r="AN49" s="196">
        <f t="shared" si="53"/>
        <v>6.4507428884116392E-3</v>
      </c>
    </row>
    <row r="50" spans="1:40" ht="14.25" x14ac:dyDescent="0.2">
      <c r="A50" s="2" t="s">
        <v>45</v>
      </c>
      <c r="B50" s="202">
        <v>3168187.34</v>
      </c>
      <c r="C50" s="84">
        <f t="shared" si="27"/>
        <v>1.8874387717517601E-3</v>
      </c>
      <c r="D50" s="201">
        <v>32660</v>
      </c>
      <c r="E50" s="78">
        <f t="shared" si="28"/>
        <v>7.018436612085034E-3</v>
      </c>
      <c r="F50" s="35">
        <f t="shared" si="29"/>
        <v>5.9656711202722788E-3</v>
      </c>
      <c r="G50" s="36">
        <v>1658.08</v>
      </c>
      <c r="H50" s="78">
        <f t="shared" si="30"/>
        <v>2.5818691768656987E-2</v>
      </c>
      <c r="I50" s="37">
        <f t="shared" si="31"/>
        <v>3.8728037652985478E-3</v>
      </c>
      <c r="J50" s="84">
        <f t="shared" si="32"/>
        <v>9.8384748855708266E-3</v>
      </c>
      <c r="K50" s="38">
        <v>2382</v>
      </c>
      <c r="L50" s="39">
        <v>572</v>
      </c>
      <c r="M50" s="39">
        <v>6969</v>
      </c>
      <c r="N50" s="39">
        <v>1381</v>
      </c>
      <c r="O50" s="40">
        <f t="shared" si="33"/>
        <v>1.3929466142391658E-3</v>
      </c>
      <c r="P50" s="40">
        <f t="shared" si="34"/>
        <v>1.6256835260279891E-3</v>
      </c>
      <c r="Q50" s="40">
        <f t="shared" si="35"/>
        <v>5.2147872779843042E-3</v>
      </c>
      <c r="R50" s="40">
        <f t="shared" si="36"/>
        <v>8.8202232838566277E-3</v>
      </c>
      <c r="S50" s="200">
        <f t="shared" si="37"/>
        <v>1.7053640702108089E-2</v>
      </c>
      <c r="T50" s="199">
        <v>1795.99999997852</v>
      </c>
      <c r="U50" s="199">
        <v>775</v>
      </c>
      <c r="V50" s="199">
        <v>2276</v>
      </c>
      <c r="W50" s="199">
        <v>675</v>
      </c>
      <c r="X50" s="40">
        <f t="shared" si="38"/>
        <v>1.41249158482677E-3</v>
      </c>
      <c r="Y50" s="40">
        <f t="shared" si="39"/>
        <v>2.6453401054040032E-3</v>
      </c>
      <c r="Z50" s="40">
        <f t="shared" si="40"/>
        <v>4.6216576237044739E-3</v>
      </c>
      <c r="AA50" s="40">
        <f t="shared" si="41"/>
        <v>1.2294186215940551E-2</v>
      </c>
      <c r="AB50" s="34">
        <f t="shared" si="42"/>
        <v>2.09736755298758E-2</v>
      </c>
      <c r="AC50" s="198">
        <f t="shared" si="43"/>
        <v>1.782762420039443E-2</v>
      </c>
      <c r="AD50" s="78">
        <f t="shared" si="44"/>
        <v>0.22986498286451734</v>
      </c>
      <c r="AE50" s="197">
        <f t="shared" si="45"/>
        <v>0</v>
      </c>
      <c r="AF50" s="78">
        <f t="shared" si="46"/>
        <v>0</v>
      </c>
      <c r="AG50" s="35">
        <f t="shared" si="47"/>
        <v>0</v>
      </c>
      <c r="AH50" s="84">
        <f t="shared" si="48"/>
        <v>1.782762420039443E-2</v>
      </c>
      <c r="AJ50" s="47">
        <f t="shared" si="49"/>
        <v>497764.79008023289</v>
      </c>
      <c r="AK50" s="48">
        <f t="shared" si="50"/>
        <v>1297325.894598583</v>
      </c>
      <c r="AL50" s="48">
        <f t="shared" si="51"/>
        <v>2350795.0961245103</v>
      </c>
      <c r="AM50" s="48">
        <f t="shared" si="52"/>
        <v>4145885.7808033261</v>
      </c>
      <c r="AN50" s="196">
        <f t="shared" si="53"/>
        <v>7.8602441573671928E-3</v>
      </c>
    </row>
    <row r="51" spans="1:40" ht="14.25" x14ac:dyDescent="0.2">
      <c r="A51" s="2" t="s">
        <v>46</v>
      </c>
      <c r="B51" s="202">
        <v>175418637.76999998</v>
      </c>
      <c r="C51" s="84">
        <f t="shared" si="27"/>
        <v>0.10450516421007341</v>
      </c>
      <c r="D51" s="201">
        <v>443273</v>
      </c>
      <c r="E51" s="78">
        <f t="shared" si="28"/>
        <v>9.5256688681836177E-2</v>
      </c>
      <c r="F51" s="35">
        <f t="shared" si="29"/>
        <v>8.0968185379560742E-2</v>
      </c>
      <c r="G51" s="36">
        <v>60.1</v>
      </c>
      <c r="H51" s="78">
        <f t="shared" si="30"/>
        <v>9.3584349084259205E-4</v>
      </c>
      <c r="I51" s="37">
        <f t="shared" si="31"/>
        <v>1.403765236263888E-4</v>
      </c>
      <c r="J51" s="84">
        <f t="shared" si="32"/>
        <v>8.1108561903187132E-2</v>
      </c>
      <c r="K51" s="38">
        <v>40580</v>
      </c>
      <c r="L51" s="39">
        <v>5745</v>
      </c>
      <c r="M51" s="39">
        <v>2165</v>
      </c>
      <c r="N51" s="39">
        <v>472</v>
      </c>
      <c r="O51" s="40">
        <f t="shared" si="33"/>
        <v>2.3730383545686545E-2</v>
      </c>
      <c r="P51" s="40">
        <f t="shared" si="34"/>
        <v>1.6327887861941955E-2</v>
      </c>
      <c r="Q51" s="40">
        <f t="shared" si="35"/>
        <v>1.6200336428233632E-3</v>
      </c>
      <c r="R51" s="40">
        <f t="shared" si="36"/>
        <v>3.0145875380016862E-3</v>
      </c>
      <c r="S51" s="200">
        <f t="shared" si="37"/>
        <v>4.4692892588453548E-2</v>
      </c>
      <c r="T51" s="199">
        <v>18155.999999995089</v>
      </c>
      <c r="U51" s="199">
        <v>4217</v>
      </c>
      <c r="V51" s="199">
        <v>161</v>
      </c>
      <c r="W51" s="199">
        <v>91</v>
      </c>
      <c r="X51" s="40">
        <f t="shared" si="38"/>
        <v>1.4279063036979183E-2</v>
      </c>
      <c r="Y51" s="40">
        <f t="shared" si="39"/>
        <v>1.4394063515469267E-2</v>
      </c>
      <c r="Z51" s="40">
        <f t="shared" si="40"/>
        <v>3.2692745053445531E-4</v>
      </c>
      <c r="AA51" s="40">
        <f t="shared" si="41"/>
        <v>1.6574384380008743E-3</v>
      </c>
      <c r="AB51" s="34">
        <f t="shared" si="42"/>
        <v>3.0657492440983779E-2</v>
      </c>
      <c r="AC51" s="198">
        <f t="shared" si="43"/>
        <v>2.6058868574836212E-2</v>
      </c>
      <c r="AD51" s="78">
        <f t="shared" si="44"/>
        <v>-0.3140409880540117</v>
      </c>
      <c r="AE51" s="197">
        <f t="shared" si="45"/>
        <v>-0.3140409880540117</v>
      </c>
      <c r="AF51" s="78">
        <f t="shared" si="46"/>
        <v>5.8518530393766088E-2</v>
      </c>
      <c r="AG51" s="35">
        <f t="shared" si="47"/>
        <v>8.7777795590649136E-3</v>
      </c>
      <c r="AH51" s="84">
        <f t="shared" si="48"/>
        <v>3.4836648133901124E-2</v>
      </c>
      <c r="AJ51" s="47">
        <f t="shared" si="49"/>
        <v>27560624.431301609</v>
      </c>
      <c r="AK51" s="48">
        <f t="shared" si="50"/>
        <v>10695177.743959012</v>
      </c>
      <c r="AL51" s="48">
        <f t="shared" si="51"/>
        <v>4593647.5145565365</v>
      </c>
      <c r="AM51" s="48">
        <f t="shared" si="52"/>
        <v>42849449.689817153</v>
      </c>
      <c r="AN51" s="196">
        <f t="shared" si="53"/>
        <v>8.1238884614308754E-2</v>
      </c>
    </row>
    <row r="52" spans="1:40" ht="14.25" x14ac:dyDescent="0.2">
      <c r="A52" s="2" t="s">
        <v>47</v>
      </c>
      <c r="B52" s="202">
        <v>261281111.04000005</v>
      </c>
      <c r="C52" s="84">
        <f t="shared" si="27"/>
        <v>0.15565749319081396</v>
      </c>
      <c r="D52" s="201">
        <v>122659</v>
      </c>
      <c r="E52" s="78">
        <f t="shared" si="28"/>
        <v>2.6358677783274286E-2</v>
      </c>
      <c r="F52" s="35">
        <f t="shared" si="29"/>
        <v>2.2404876115783144E-2</v>
      </c>
      <c r="G52" s="36">
        <v>72.010000000000005</v>
      </c>
      <c r="H52" s="78">
        <f t="shared" si="30"/>
        <v>1.1212993307084037E-3</v>
      </c>
      <c r="I52" s="37">
        <f t="shared" si="31"/>
        <v>1.6819489960626053E-4</v>
      </c>
      <c r="J52" s="84">
        <f t="shared" si="32"/>
        <v>2.2573071015389405E-2</v>
      </c>
      <c r="K52" s="38">
        <v>9903</v>
      </c>
      <c r="L52" s="39">
        <v>1776</v>
      </c>
      <c r="M52" s="39">
        <v>642</v>
      </c>
      <c r="N52" s="39">
        <v>85</v>
      </c>
      <c r="O52" s="40">
        <f t="shared" si="33"/>
        <v>5.7910790599540133E-3</v>
      </c>
      <c r="P52" s="40">
        <f t="shared" si="34"/>
        <v>5.0475768220729174E-3</v>
      </c>
      <c r="Q52" s="40">
        <f t="shared" si="35"/>
        <v>4.8039796706355622E-4</v>
      </c>
      <c r="R52" s="40">
        <f t="shared" si="36"/>
        <v>5.4288123036047315E-4</v>
      </c>
      <c r="S52" s="200">
        <f t="shared" si="37"/>
        <v>1.186193507945096E-2</v>
      </c>
      <c r="T52" s="199">
        <v>4908.0000000006539</v>
      </c>
      <c r="U52" s="199">
        <v>1283</v>
      </c>
      <c r="V52" s="199">
        <v>140</v>
      </c>
      <c r="W52" s="199">
        <v>21</v>
      </c>
      <c r="X52" s="40">
        <f t="shared" si="38"/>
        <v>3.8599714356423293E-3</v>
      </c>
      <c r="Y52" s="40">
        <f t="shared" si="39"/>
        <v>4.3793178777204334E-3</v>
      </c>
      <c r="Z52" s="40">
        <f t="shared" si="40"/>
        <v>2.8428473959517855E-4</v>
      </c>
      <c r="AA52" s="40">
        <f t="shared" si="41"/>
        <v>3.8248579338481716E-4</v>
      </c>
      <c r="AB52" s="34">
        <f t="shared" si="42"/>
        <v>8.9060598463427572E-3</v>
      </c>
      <c r="AC52" s="198">
        <f t="shared" si="43"/>
        <v>7.5701508693913431E-3</v>
      </c>
      <c r="AD52" s="78">
        <f t="shared" si="44"/>
        <v>-0.24918996886341233</v>
      </c>
      <c r="AE52" s="197">
        <f t="shared" si="45"/>
        <v>-0.24918996886341233</v>
      </c>
      <c r="AF52" s="78">
        <f t="shared" si="46"/>
        <v>4.6434164078757868E-2</v>
      </c>
      <c r="AG52" s="35">
        <f t="shared" si="47"/>
        <v>6.9651246118136801E-3</v>
      </c>
      <c r="AH52" s="84">
        <f t="shared" si="48"/>
        <v>1.4535275481205024E-2</v>
      </c>
      <c r="AJ52" s="47">
        <f t="shared" si="49"/>
        <v>41050772.391747408</v>
      </c>
      <c r="AK52" s="48">
        <f t="shared" si="50"/>
        <v>2976541.5767667852</v>
      </c>
      <c r="AL52" s="48">
        <f t="shared" si="51"/>
        <v>1916657.7631403974</v>
      </c>
      <c r="AM52" s="48">
        <f t="shared" si="52"/>
        <v>45943971.731654584</v>
      </c>
      <c r="AN52" s="196">
        <f t="shared" si="53"/>
        <v>8.7105833219555562E-2</v>
      </c>
    </row>
    <row r="53" spans="1:40" ht="14.25" x14ac:dyDescent="0.2">
      <c r="A53" s="2" t="s">
        <v>48</v>
      </c>
      <c r="B53" s="202">
        <v>52173929.359999999</v>
      </c>
      <c r="C53" s="84">
        <f t="shared" si="27"/>
        <v>3.1082472903480984E-2</v>
      </c>
      <c r="D53" s="201">
        <v>268955</v>
      </c>
      <c r="E53" s="78">
        <f t="shared" si="28"/>
        <v>5.7796804011124629E-2</v>
      </c>
      <c r="F53" s="35">
        <f t="shared" si="29"/>
        <v>4.9127283409455935E-2</v>
      </c>
      <c r="G53" s="36">
        <v>885.01</v>
      </c>
      <c r="H53" s="78">
        <f t="shared" si="30"/>
        <v>1.3780879331624E-2</v>
      </c>
      <c r="I53" s="37">
        <f t="shared" si="31"/>
        <v>2.0671318997435998E-3</v>
      </c>
      <c r="J53" s="84">
        <f t="shared" si="32"/>
        <v>5.1194415309199534E-2</v>
      </c>
      <c r="K53" s="38">
        <v>25924</v>
      </c>
      <c r="L53" s="39">
        <v>5313</v>
      </c>
      <c r="M53" s="39">
        <v>11983</v>
      </c>
      <c r="N53" s="39">
        <v>721</v>
      </c>
      <c r="O53" s="40">
        <f t="shared" si="33"/>
        <v>1.5159843840275454E-2</v>
      </c>
      <c r="P53" s="40">
        <f t="shared" si="34"/>
        <v>1.5100098905221513E-2</v>
      </c>
      <c r="Q53" s="40">
        <f t="shared" si="35"/>
        <v>8.9666804350819213E-3</v>
      </c>
      <c r="R53" s="40">
        <f t="shared" si="36"/>
        <v>4.6049102010576604E-3</v>
      </c>
      <c r="S53" s="200">
        <f t="shared" si="37"/>
        <v>4.3831533381636548E-2</v>
      </c>
      <c r="T53" s="199">
        <v>21053.000000219407</v>
      </c>
      <c r="U53" s="199">
        <v>4306</v>
      </c>
      <c r="V53" s="199">
        <v>2328</v>
      </c>
      <c r="W53" s="199">
        <v>359</v>
      </c>
      <c r="X53" s="40">
        <f t="shared" si="38"/>
        <v>1.655745285970131E-2</v>
      </c>
      <c r="Y53" s="40">
        <f t="shared" si="39"/>
        <v>1.4697850959831791E-2</v>
      </c>
      <c r="Z53" s="40">
        <f t="shared" si="40"/>
        <v>4.7272490984112542E-3</v>
      </c>
      <c r="AA53" s="40">
        <f t="shared" si="41"/>
        <v>6.5386857059594929E-3</v>
      </c>
      <c r="AB53" s="34">
        <f t="shared" si="42"/>
        <v>4.2521238623903848E-2</v>
      </c>
      <c r="AC53" s="198">
        <f t="shared" si="43"/>
        <v>3.6143052830318267E-2</v>
      </c>
      <c r="AD53" s="78">
        <f t="shared" si="44"/>
        <v>-2.9893883618537846E-2</v>
      </c>
      <c r="AE53" s="197">
        <f t="shared" si="45"/>
        <v>-2.9893883618537846E-2</v>
      </c>
      <c r="AF53" s="78">
        <f t="shared" si="46"/>
        <v>5.5704389034027758E-3</v>
      </c>
      <c r="AG53" s="35">
        <f t="shared" si="47"/>
        <v>8.3556583551041631E-4</v>
      </c>
      <c r="AH53" s="84">
        <f t="shared" si="48"/>
        <v>3.6978618665828682E-2</v>
      </c>
      <c r="AJ53" s="47">
        <f t="shared" si="49"/>
        <v>8197225.1664705221</v>
      </c>
      <c r="AK53" s="48">
        <f t="shared" si="50"/>
        <v>6750623.5887093227</v>
      </c>
      <c r="AL53" s="48">
        <f t="shared" si="51"/>
        <v>4876093.1038228339</v>
      </c>
      <c r="AM53" s="48">
        <f t="shared" si="52"/>
        <v>19823941.85900268</v>
      </c>
      <c r="AN53" s="196">
        <f t="shared" si="53"/>
        <v>3.7584494945497544E-2</v>
      </c>
    </row>
    <row r="54" spans="1:40" ht="14.25" x14ac:dyDescent="0.2">
      <c r="A54" s="2" t="s">
        <v>49</v>
      </c>
      <c r="B54" s="202">
        <v>14844922.76</v>
      </c>
      <c r="C54" s="84">
        <f t="shared" si="27"/>
        <v>8.8438213318799974E-3</v>
      </c>
      <c r="D54" s="201">
        <v>40469</v>
      </c>
      <c r="E54" s="78">
        <f t="shared" si="28"/>
        <v>8.6965435166708287E-3</v>
      </c>
      <c r="F54" s="35">
        <f t="shared" si="29"/>
        <v>7.3920619891702042E-3</v>
      </c>
      <c r="G54" s="36">
        <v>746.48</v>
      </c>
      <c r="H54" s="78">
        <f t="shared" si="30"/>
        <v>1.1623767870951384E-2</v>
      </c>
      <c r="I54" s="37">
        <f t="shared" si="31"/>
        <v>1.7435651806427075E-3</v>
      </c>
      <c r="J54" s="84">
        <f t="shared" si="32"/>
        <v>9.1356271698129123E-3</v>
      </c>
      <c r="K54" s="38">
        <v>4577</v>
      </c>
      <c r="L54" s="39">
        <v>1003</v>
      </c>
      <c r="M54" s="39">
        <v>3403</v>
      </c>
      <c r="N54" s="39">
        <v>757</v>
      </c>
      <c r="O54" s="40">
        <f t="shared" si="33"/>
        <v>2.6765393171169867E-3</v>
      </c>
      <c r="P54" s="40">
        <f t="shared" si="34"/>
        <v>2.8506303786819459E-3</v>
      </c>
      <c r="Q54" s="40">
        <f t="shared" si="35"/>
        <v>2.5464085388119655E-3</v>
      </c>
      <c r="R54" s="40">
        <f t="shared" si="36"/>
        <v>4.8348363692103311E-3</v>
      </c>
      <c r="S54" s="200">
        <f t="shared" si="37"/>
        <v>1.2908414603821229E-2</v>
      </c>
      <c r="T54" s="199">
        <v>2792.0000000464884</v>
      </c>
      <c r="U54" s="199">
        <v>666</v>
      </c>
      <c r="V54" s="199">
        <v>1225</v>
      </c>
      <c r="W54" s="199">
        <v>325</v>
      </c>
      <c r="X54" s="40">
        <f t="shared" si="38"/>
        <v>2.1958109715752628E-3</v>
      </c>
      <c r="Y54" s="40">
        <f t="shared" si="39"/>
        <v>2.2732858196116983E-3</v>
      </c>
      <c r="Z54" s="40">
        <f t="shared" si="40"/>
        <v>2.4874914714578121E-3</v>
      </c>
      <c r="AA54" s="40">
        <f t="shared" si="41"/>
        <v>5.9194229928602651E-3</v>
      </c>
      <c r="AB54" s="34">
        <f t="shared" si="42"/>
        <v>1.2876011255505039E-2</v>
      </c>
      <c r="AC54" s="198">
        <f t="shared" si="43"/>
        <v>1.0944609567179282E-2</v>
      </c>
      <c r="AD54" s="78">
        <f t="shared" si="44"/>
        <v>-2.5102500431461333E-3</v>
      </c>
      <c r="AE54" s="197">
        <f t="shared" si="45"/>
        <v>-2.5102500431461333E-3</v>
      </c>
      <c r="AF54" s="78">
        <f t="shared" si="46"/>
        <v>4.6776105360022324E-4</v>
      </c>
      <c r="AG54" s="35">
        <f t="shared" si="47"/>
        <v>7.0164158040033481E-5</v>
      </c>
      <c r="AH54" s="84">
        <f t="shared" si="48"/>
        <v>1.1014773725219315E-2</v>
      </c>
      <c r="AJ54" s="47">
        <f t="shared" si="49"/>
        <v>2332336.7807500521</v>
      </c>
      <c r="AK54" s="48">
        <f t="shared" si="50"/>
        <v>1204646.6376794551</v>
      </c>
      <c r="AL54" s="48">
        <f t="shared" si="51"/>
        <v>1452435.6003417319</v>
      </c>
      <c r="AM54" s="48">
        <f t="shared" si="52"/>
        <v>4989419.0187712386</v>
      </c>
      <c r="AN54" s="196">
        <f t="shared" si="53"/>
        <v>9.4595108896980539E-3</v>
      </c>
    </row>
    <row r="55" spans="1:40" ht="14.25" x14ac:dyDescent="0.2">
      <c r="A55" s="2" t="s">
        <v>50</v>
      </c>
      <c r="B55" s="202">
        <v>37916</v>
      </c>
      <c r="C55" s="84">
        <f t="shared" si="27"/>
        <v>2.2588351252530332E-5</v>
      </c>
      <c r="D55" s="201">
        <v>1971</v>
      </c>
      <c r="E55" s="78">
        <f t="shared" si="28"/>
        <v>4.2355598782668714E-4</v>
      </c>
      <c r="F55" s="35">
        <f t="shared" si="29"/>
        <v>3.6002258965268404E-4</v>
      </c>
      <c r="G55" s="36">
        <v>1766.28</v>
      </c>
      <c r="H55" s="78">
        <f t="shared" si="30"/>
        <v>2.7503521480955966E-2</v>
      </c>
      <c r="I55" s="37">
        <f t="shared" si="31"/>
        <v>4.1255282221433947E-3</v>
      </c>
      <c r="J55" s="84">
        <f t="shared" si="32"/>
        <v>4.4855508117960788E-3</v>
      </c>
      <c r="K55" s="38">
        <v>477</v>
      </c>
      <c r="L55" s="39">
        <v>88</v>
      </c>
      <c r="M55" s="39">
        <v>1037</v>
      </c>
      <c r="N55" s="39">
        <v>127</v>
      </c>
      <c r="O55" s="40">
        <f t="shared" si="33"/>
        <v>2.7894019101262893E-4</v>
      </c>
      <c r="P55" s="40">
        <f t="shared" si="34"/>
        <v>2.5010515785045984E-4</v>
      </c>
      <c r="Q55" s="40">
        <f t="shared" si="35"/>
        <v>7.7596992499206823E-4</v>
      </c>
      <c r="R55" s="40">
        <f t="shared" si="36"/>
        <v>8.1112842653858932E-4</v>
      </c>
      <c r="S55" s="200">
        <f t="shared" si="37"/>
        <v>2.1161437003937465E-3</v>
      </c>
      <c r="T55" s="199">
        <v>265.99999999676999</v>
      </c>
      <c r="U55" s="199">
        <v>85</v>
      </c>
      <c r="V55" s="199">
        <v>641</v>
      </c>
      <c r="W55" s="199">
        <v>46</v>
      </c>
      <c r="X55" s="40">
        <f t="shared" si="38"/>
        <v>2.0919975588187754E-4</v>
      </c>
      <c r="Y55" s="40">
        <f t="shared" si="39"/>
        <v>2.9013407607656811E-4</v>
      </c>
      <c r="Z55" s="40">
        <f t="shared" si="40"/>
        <v>1.3016179862893531E-3</v>
      </c>
      <c r="AA55" s="40">
        <f t="shared" si="41"/>
        <v>8.3782602360483755E-4</v>
      </c>
      <c r="AB55" s="34">
        <f t="shared" si="42"/>
        <v>2.6387778418526363E-3</v>
      </c>
      <c r="AC55" s="198">
        <f t="shared" si="43"/>
        <v>2.2429611655747409E-3</v>
      </c>
      <c r="AD55" s="78">
        <f t="shared" si="44"/>
        <v>0.24697478784717899</v>
      </c>
      <c r="AE55" s="197">
        <f t="shared" si="45"/>
        <v>0</v>
      </c>
      <c r="AF55" s="78">
        <f t="shared" si="46"/>
        <v>0</v>
      </c>
      <c r="AG55" s="35">
        <f t="shared" si="47"/>
        <v>0</v>
      </c>
      <c r="AH55" s="84">
        <f t="shared" si="48"/>
        <v>2.2429611655747409E-3</v>
      </c>
      <c r="AJ55" s="47">
        <f t="shared" si="49"/>
        <v>5957.1129340735615</v>
      </c>
      <c r="AK55" s="48">
        <f t="shared" si="50"/>
        <v>591475.94392046041</v>
      </c>
      <c r="AL55" s="48">
        <f t="shared" si="51"/>
        <v>295762.46669559926</v>
      </c>
      <c r="AM55" s="48">
        <f t="shared" si="52"/>
        <v>893195.52355013322</v>
      </c>
      <c r="AN55" s="196">
        <f t="shared" si="53"/>
        <v>1.6934221699689701E-3</v>
      </c>
    </row>
    <row r="56" spans="1:40" ht="14.25" x14ac:dyDescent="0.2">
      <c r="A56" s="2" t="s">
        <v>51</v>
      </c>
      <c r="B56" s="202">
        <v>242962</v>
      </c>
      <c r="C56" s="84">
        <f t="shared" si="27"/>
        <v>1.4474393388061172E-4</v>
      </c>
      <c r="D56" s="201">
        <v>4113</v>
      </c>
      <c r="E56" s="78">
        <f t="shared" si="28"/>
        <v>8.8385884217715089E-4</v>
      </c>
      <c r="F56" s="35">
        <f t="shared" si="29"/>
        <v>7.5128001585057823E-4</v>
      </c>
      <c r="G56" s="36">
        <v>879.68</v>
      </c>
      <c r="H56" s="78">
        <f t="shared" si="30"/>
        <v>1.3697883561138291E-2</v>
      </c>
      <c r="I56" s="37">
        <f t="shared" si="31"/>
        <v>2.0546825341707436E-3</v>
      </c>
      <c r="J56" s="84">
        <f t="shared" si="32"/>
        <v>2.8059625500213218E-3</v>
      </c>
      <c r="K56" s="38">
        <v>765</v>
      </c>
      <c r="L56" s="39">
        <v>138</v>
      </c>
      <c r="M56" s="39">
        <v>1343</v>
      </c>
      <c r="N56" s="39">
        <v>81</v>
      </c>
      <c r="O56" s="40">
        <f t="shared" si="33"/>
        <v>4.4735691011459354E-4</v>
      </c>
      <c r="P56" s="40">
        <f t="shared" si="34"/>
        <v>3.9221036117458475E-4</v>
      </c>
      <c r="Q56" s="40">
        <f t="shared" si="35"/>
        <v>1.0049446569569407E-3</v>
      </c>
      <c r="R56" s="40">
        <f t="shared" si="36"/>
        <v>5.1733387834350972E-4</v>
      </c>
      <c r="S56" s="200">
        <f t="shared" si="37"/>
        <v>2.3618458065896289E-3</v>
      </c>
      <c r="T56" s="199">
        <v>609.99999999842794</v>
      </c>
      <c r="U56" s="199">
        <v>123</v>
      </c>
      <c r="V56" s="199">
        <v>468</v>
      </c>
      <c r="W56" s="199">
        <v>34</v>
      </c>
      <c r="X56" s="40">
        <f t="shared" si="38"/>
        <v>4.7974380108709025E-4</v>
      </c>
      <c r="Y56" s="40">
        <f t="shared" si="39"/>
        <v>4.198410747931515E-4</v>
      </c>
      <c r="Z56" s="40">
        <f t="shared" si="40"/>
        <v>9.5032327236102532E-4</v>
      </c>
      <c r="AA56" s="40">
        <f t="shared" si="41"/>
        <v>6.1926271309922776E-4</v>
      </c>
      <c r="AB56" s="34">
        <f t="shared" si="42"/>
        <v>2.4691708613404947E-3</v>
      </c>
      <c r="AC56" s="198">
        <f t="shared" si="43"/>
        <v>2.0987952321394206E-3</v>
      </c>
      <c r="AD56" s="78">
        <f t="shared" si="44"/>
        <v>4.5441177595686125E-2</v>
      </c>
      <c r="AE56" s="197">
        <f t="shared" si="45"/>
        <v>0</v>
      </c>
      <c r="AF56" s="78">
        <f t="shared" si="46"/>
        <v>0</v>
      </c>
      <c r="AG56" s="35">
        <f t="shared" si="47"/>
        <v>0</v>
      </c>
      <c r="AH56" s="84">
        <f t="shared" si="48"/>
        <v>2.0987952321394206E-3</v>
      </c>
      <c r="AJ56" s="47">
        <f t="shared" si="49"/>
        <v>38172.593962664323</v>
      </c>
      <c r="AK56" s="48">
        <f t="shared" si="50"/>
        <v>370001.23675218649</v>
      </c>
      <c r="AL56" s="48">
        <f t="shared" si="51"/>
        <v>276752.38629798434</v>
      </c>
      <c r="AM56" s="48">
        <f t="shared" si="52"/>
        <v>684926.2170128352</v>
      </c>
      <c r="AN56" s="196">
        <f t="shared" si="53"/>
        <v>1.2985614124804913E-3</v>
      </c>
    </row>
    <row r="57" spans="1:40" ht="15.75" thickBot="1" x14ac:dyDescent="0.3">
      <c r="A57" s="3" t="s">
        <v>52</v>
      </c>
      <c r="B57" s="195">
        <f>SUM(B6:B56)</f>
        <v>1678564299.6299996</v>
      </c>
      <c r="C57" s="85">
        <f t="shared" si="27"/>
        <v>1</v>
      </c>
      <c r="D57" s="194">
        <f>SUM(D6:D56)</f>
        <v>4653458</v>
      </c>
      <c r="E57" s="79">
        <f>SUM(E6:E56)</f>
        <v>0.99999999999999989</v>
      </c>
      <c r="F57" s="51">
        <f>SUM(F6:F56)</f>
        <v>0.85000000000000009</v>
      </c>
      <c r="G57" s="52">
        <f>SUM(G6:G56)</f>
        <v>64220.140000000021</v>
      </c>
      <c r="H57" s="79">
        <f t="shared" si="30"/>
        <v>1</v>
      </c>
      <c r="I57" s="53">
        <f>SUM(I6:I56)</f>
        <v>0.15</v>
      </c>
      <c r="J57" s="85">
        <f>SUM(J6:J56)</f>
        <v>1</v>
      </c>
      <c r="K57" s="54">
        <v>427511</v>
      </c>
      <c r="L57" s="55">
        <v>87963</v>
      </c>
      <c r="M57" s="55">
        <v>334098</v>
      </c>
      <c r="N57" s="55">
        <v>39143</v>
      </c>
      <c r="O57" s="56">
        <f>SUM(O6:O56)</f>
        <v>0.25</v>
      </c>
      <c r="P57" s="56">
        <f>SUM(P6:P56)</f>
        <v>0.24999999999999994</v>
      </c>
      <c r="Q57" s="56">
        <f>SUM(Q6:Q56)</f>
        <v>0.25</v>
      </c>
      <c r="R57" s="56">
        <f>SUM(R6:R56)</f>
        <v>0.25</v>
      </c>
      <c r="S57" s="192">
        <f>SUM(S6:S56)</f>
        <v>1</v>
      </c>
      <c r="T57" s="193">
        <v>317877.99999509094</v>
      </c>
      <c r="U57" s="193">
        <v>73242</v>
      </c>
      <c r="V57" s="193">
        <v>123116</v>
      </c>
      <c r="W57" s="193">
        <v>13726</v>
      </c>
      <c r="X57" s="56">
        <f t="shared" ref="X57:AC57" si="54">SUM(X6:X56)</f>
        <v>0.24999999999999994</v>
      </c>
      <c r="Y57" s="56">
        <f t="shared" si="54"/>
        <v>0.24999999999999997</v>
      </c>
      <c r="Z57" s="56">
        <f t="shared" si="54"/>
        <v>0.24999999999999997</v>
      </c>
      <c r="AA57" s="56">
        <f t="shared" si="54"/>
        <v>0.25000000000000006</v>
      </c>
      <c r="AB57" s="192">
        <f t="shared" si="54"/>
        <v>1.0000000000000002</v>
      </c>
      <c r="AC57" s="191">
        <f t="shared" si="54"/>
        <v>0.85</v>
      </c>
      <c r="AD57" s="61"/>
      <c r="AE57" s="190">
        <f>SUM(AE6:AE56)</f>
        <v>-5.3665221245451189</v>
      </c>
      <c r="AF57" s="189">
        <f>SUM(AF6:AF56)</f>
        <v>1.0000000000000002</v>
      </c>
      <c r="AG57" s="51">
        <f>SUM(AG6:AG56)</f>
        <v>0.15000000000000005</v>
      </c>
      <c r="AH57" s="85">
        <f>SUM(AH6:AH56)</f>
        <v>1.0000000000000002</v>
      </c>
      <c r="AJ57" s="65">
        <f>SUM(AJ6:AJ56)</f>
        <v>263725000.00000006</v>
      </c>
      <c r="AK57" s="66">
        <f>SUM(AK6:AK56)</f>
        <v>131862499.99999999</v>
      </c>
      <c r="AL57" s="66">
        <f>SUM(AL6:AL56)</f>
        <v>131862499.99999999</v>
      </c>
      <c r="AM57" s="66">
        <f>SUM(AM6:AM56)</f>
        <v>527450000</v>
      </c>
      <c r="AN57" s="188">
        <f>SUM(AN6:AN56)</f>
        <v>1</v>
      </c>
    </row>
    <row r="58" spans="1:40" ht="13.5" thickTop="1" x14ac:dyDescent="0.2">
      <c r="H58" s="69"/>
      <c r="S58" s="71"/>
    </row>
    <row r="59" spans="1:40" x14ac:dyDescent="0.2">
      <c r="B59" s="187" t="s">
        <v>184</v>
      </c>
      <c r="C59" s="187"/>
      <c r="D59" s="254"/>
      <c r="E59" s="254"/>
      <c r="F59" s="254"/>
      <c r="G59" s="254"/>
      <c r="H59" s="254"/>
      <c r="I59" s="254"/>
      <c r="J59" s="254"/>
      <c r="S59" s="71"/>
    </row>
    <row r="60" spans="1:40" x14ac:dyDescent="0.2">
      <c r="B60" s="186" t="s">
        <v>183</v>
      </c>
      <c r="C60" s="186"/>
      <c r="K60" s="6"/>
      <c r="L60" s="6"/>
      <c r="M60" s="6"/>
      <c r="N60" s="6"/>
      <c r="O60" s="6"/>
      <c r="P60" s="6"/>
      <c r="Q60" s="6"/>
      <c r="R60" s="6"/>
      <c r="S60" s="71"/>
      <c r="T60" s="74"/>
      <c r="U60" s="6"/>
      <c r="V60" s="6"/>
      <c r="W60" s="6"/>
      <c r="X60" s="6"/>
      <c r="Y60" s="6"/>
      <c r="Z60" s="6"/>
      <c r="AA60" s="6"/>
    </row>
    <row r="61" spans="1:40" ht="12.75" customHeight="1" x14ac:dyDescent="0.2">
      <c r="B61" s="185" t="s">
        <v>182</v>
      </c>
      <c r="C61" s="185"/>
      <c r="S61" s="71"/>
    </row>
    <row r="62" spans="1:40" x14ac:dyDescent="0.2">
      <c r="S62" s="71"/>
    </row>
    <row r="63" spans="1:40" x14ac:dyDescent="0.2">
      <c r="S63" s="71"/>
    </row>
    <row r="64" spans="1:40" x14ac:dyDescent="0.2">
      <c r="S64" s="71"/>
    </row>
    <row r="65" spans="19:19" x14ac:dyDescent="0.2">
      <c r="S65" s="71"/>
    </row>
    <row r="66" spans="19:19" x14ac:dyDescent="0.2">
      <c r="S66" s="71"/>
    </row>
    <row r="67" spans="19:19" x14ac:dyDescent="0.2">
      <c r="S67" s="71"/>
    </row>
    <row r="68" spans="19:19" x14ac:dyDescent="0.2">
      <c r="S68" s="71"/>
    </row>
    <row r="69" spans="19:19" x14ac:dyDescent="0.2">
      <c r="S69" s="71"/>
    </row>
    <row r="70" spans="19:19" x14ac:dyDescent="0.2">
      <c r="S70" s="71"/>
    </row>
    <row r="71" spans="19:19" x14ac:dyDescent="0.2">
      <c r="S71" s="71"/>
    </row>
    <row r="72" spans="19:19" x14ac:dyDescent="0.2">
      <c r="S72" s="71"/>
    </row>
    <row r="73" spans="19:19" x14ac:dyDescent="0.2">
      <c r="S73" s="71"/>
    </row>
    <row r="74" spans="19:19" x14ac:dyDescent="0.2">
      <c r="S74" s="71"/>
    </row>
    <row r="75" spans="19:19" x14ac:dyDescent="0.2">
      <c r="S75" s="71"/>
    </row>
    <row r="76" spans="19:19" x14ac:dyDescent="0.2">
      <c r="S76" s="71"/>
    </row>
    <row r="77" spans="19:19" x14ac:dyDescent="0.2">
      <c r="S77" s="71"/>
    </row>
    <row r="78" spans="19:19" x14ac:dyDescent="0.2">
      <c r="S78" s="71"/>
    </row>
    <row r="79" spans="19:19" x14ac:dyDescent="0.2">
      <c r="S79" s="71"/>
    </row>
    <row r="80" spans="19:19" x14ac:dyDescent="0.2">
      <c r="S80" s="71"/>
    </row>
    <row r="81" spans="19:19" x14ac:dyDescent="0.2">
      <c r="S81" s="71"/>
    </row>
    <row r="82" spans="19:19" x14ac:dyDescent="0.2">
      <c r="S82" s="71"/>
    </row>
    <row r="83" spans="19:19" x14ac:dyDescent="0.2">
      <c r="S83" s="71"/>
    </row>
    <row r="84" spans="19:19" x14ac:dyDescent="0.2">
      <c r="S84" s="71"/>
    </row>
    <row r="85" spans="19:19" x14ac:dyDescent="0.2">
      <c r="S85" s="71"/>
    </row>
    <row r="86" spans="19:19" x14ac:dyDescent="0.2">
      <c r="S86" s="71"/>
    </row>
  </sheetData>
  <mergeCells count="5">
    <mergeCell ref="D59:J59"/>
    <mergeCell ref="A1:AN1"/>
    <mergeCell ref="B2:C2"/>
    <mergeCell ref="D2:J2"/>
    <mergeCell ref="K2:AH2"/>
  </mergeCells>
  <printOptions horizontalCentered="1"/>
  <pageMargins left="0.19685039370078741" right="0.19685039370078741" top="0.43" bottom="0.11811023622047245" header="0.15748031496062992" footer="0.11811023622047245"/>
  <pageSetup scale="65" orientation="landscape" r:id="rId1"/>
  <headerFooter alignWithMargins="0">
    <oddHeader>&amp;LANEXO IV
Pag &amp;P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6"/>
  <sheetViews>
    <sheetView showGridLines="0" zoomScale="150" zoomScaleNormal="150" zoomScaleSheetLayoutView="100" workbookViewId="0">
      <selection activeCell="B16" sqref="B16"/>
    </sheetView>
  </sheetViews>
  <sheetFormatPr baseColWidth="10" defaultRowHeight="12.75" x14ac:dyDescent="0.2"/>
  <cols>
    <col min="1" max="1" width="61.140625" style="88" customWidth="1"/>
    <col min="2" max="4" width="21" style="88" customWidth="1"/>
    <col min="5" max="16384" width="11.42578125" style="88"/>
  </cols>
  <sheetData>
    <row r="1" spans="1:4" ht="27.75" customHeight="1" x14ac:dyDescent="0.2">
      <c r="A1" s="240" t="s">
        <v>200</v>
      </c>
      <c r="B1" s="240"/>
      <c r="C1" s="240"/>
      <c r="D1" s="240"/>
    </row>
    <row r="3" spans="1:4" ht="25.5" x14ac:dyDescent="0.2">
      <c r="A3" s="233" t="s">
        <v>118</v>
      </c>
      <c r="B3" s="233" t="s">
        <v>177</v>
      </c>
      <c r="C3" s="233" t="s">
        <v>119</v>
      </c>
      <c r="D3" s="233" t="s">
        <v>178</v>
      </c>
    </row>
    <row r="4" spans="1:4" ht="25.5" customHeight="1" x14ac:dyDescent="0.2">
      <c r="A4" s="234" t="s">
        <v>199</v>
      </c>
      <c r="B4" s="232">
        <v>1507000000</v>
      </c>
      <c r="C4" s="233">
        <v>35</v>
      </c>
      <c r="D4" s="232">
        <f>+C4/100*B4</f>
        <v>527449999.99999994</v>
      </c>
    </row>
    <row r="5" spans="1:4" x14ac:dyDescent="0.2">
      <c r="A5" s="231"/>
      <c r="B5" s="93"/>
      <c r="C5" s="94"/>
      <c r="D5" s="93"/>
    </row>
    <row r="6" spans="1:4" x14ac:dyDescent="0.2">
      <c r="A6" s="14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&amp;LANEXO IV
Pag 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64"/>
  <sheetViews>
    <sheetView showGridLines="0" view="pageBreakPreview" zoomScaleNormal="100" zoomScaleSheetLayoutView="100" workbookViewId="0">
      <selection activeCell="B16" sqref="B16"/>
    </sheetView>
  </sheetViews>
  <sheetFormatPr baseColWidth="10" defaultRowHeight="12.75" x14ac:dyDescent="0.2"/>
  <cols>
    <col min="1" max="1" width="46.42578125" style="96" customWidth="1"/>
    <col min="2" max="2" width="32.28515625" style="96" customWidth="1"/>
    <col min="3" max="16384" width="11.42578125" style="96"/>
  </cols>
  <sheetData>
    <row r="1" spans="1:2" x14ac:dyDescent="0.2">
      <c r="A1" s="242" t="s">
        <v>121</v>
      </c>
      <c r="B1" s="242"/>
    </row>
    <row r="2" spans="1:2" x14ac:dyDescent="0.2">
      <c r="A2" s="242" t="s">
        <v>122</v>
      </c>
      <c r="B2" s="242"/>
    </row>
    <row r="3" spans="1:2" s="235" customFormat="1" ht="27" customHeight="1" x14ac:dyDescent="0.2">
      <c r="A3" s="241" t="s">
        <v>202</v>
      </c>
      <c r="B3" s="241"/>
    </row>
    <row r="4" spans="1:2" x14ac:dyDescent="0.2">
      <c r="A4" s="242" t="s">
        <v>123</v>
      </c>
      <c r="B4" s="242"/>
    </row>
    <row r="5" spans="1:2" ht="13.5" customHeight="1" thickBot="1" x14ac:dyDescent="0.25">
      <c r="A5" s="97"/>
    </row>
    <row r="6" spans="1:2" ht="14.25" thickTop="1" thickBot="1" x14ac:dyDescent="0.25">
      <c r="A6" s="98" t="s">
        <v>0</v>
      </c>
      <c r="B6" s="99" t="s">
        <v>201</v>
      </c>
    </row>
    <row r="7" spans="1:2" ht="13.5" thickTop="1" x14ac:dyDescent="0.2">
      <c r="A7" s="100" t="s">
        <v>1</v>
      </c>
      <c r="B7" s="101">
        <f>+' E TENENCIA 2016'!D$4*'COEF DIST TEN'!AN6</f>
        <v>291150.20563587319</v>
      </c>
    </row>
    <row r="8" spans="1:2" x14ac:dyDescent="0.2">
      <c r="A8" s="100" t="s">
        <v>2</v>
      </c>
      <c r="B8" s="101">
        <f>+' E TENENCIA 2016'!D$4*'COEF DIST TEN'!AN7</f>
        <v>1318819.7072093191</v>
      </c>
    </row>
    <row r="9" spans="1:2" x14ac:dyDescent="0.2">
      <c r="A9" s="100" t="s">
        <v>3</v>
      </c>
      <c r="B9" s="101">
        <f>+' E TENENCIA 2016'!D$4*'COEF DIST TEN'!AN8</f>
        <v>1398053.2644091907</v>
      </c>
    </row>
    <row r="10" spans="1:2" x14ac:dyDescent="0.2">
      <c r="A10" s="100" t="s">
        <v>4</v>
      </c>
      <c r="B10" s="101">
        <f>+' E TENENCIA 2016'!D$4*'COEF DIST TEN'!AN9</f>
        <v>4869089.0068834797</v>
      </c>
    </row>
    <row r="11" spans="1:2" x14ac:dyDescent="0.2">
      <c r="A11" s="100" t="s">
        <v>5</v>
      </c>
      <c r="B11" s="101">
        <f>+' E TENENCIA 2016'!D$4*'COEF DIST TEN'!AN10</f>
        <v>4001190.6413411</v>
      </c>
    </row>
    <row r="12" spans="1:2" x14ac:dyDescent="0.2">
      <c r="A12" s="100" t="s">
        <v>6</v>
      </c>
      <c r="B12" s="101">
        <f>+' E TENENCIA 2016'!D$4*'COEF DIST TEN'!AN11</f>
        <v>32659050.906205781</v>
      </c>
    </row>
    <row r="13" spans="1:2" x14ac:dyDescent="0.2">
      <c r="A13" s="100" t="s">
        <v>7</v>
      </c>
      <c r="B13" s="101">
        <f>+' E TENENCIA 2016'!D$4*'COEF DIST TEN'!AN12</f>
        <v>5606117.6831589509</v>
      </c>
    </row>
    <row r="14" spans="1:2" x14ac:dyDescent="0.2">
      <c r="A14" s="100" t="s">
        <v>8</v>
      </c>
      <c r="B14" s="101">
        <f>+' E TENENCIA 2016'!D$4*'COEF DIST TEN'!AN13</f>
        <v>702988.30621314363</v>
      </c>
    </row>
    <row r="15" spans="1:2" x14ac:dyDescent="0.2">
      <c r="A15" s="100" t="s">
        <v>9</v>
      </c>
      <c r="B15" s="101">
        <f>+' E TENENCIA 2016'!D$4*'COEF DIST TEN'!AN14</f>
        <v>8344609.6888637682</v>
      </c>
    </row>
    <row r="16" spans="1:2" x14ac:dyDescent="0.2">
      <c r="A16" s="100" t="s">
        <v>10</v>
      </c>
      <c r="B16" s="101">
        <f>+' E TENENCIA 2016'!D$4*'COEF DIST TEN'!AN15</f>
        <v>1225959.7386873187</v>
      </c>
    </row>
    <row r="17" spans="1:2" x14ac:dyDescent="0.2">
      <c r="A17" s="100" t="s">
        <v>11</v>
      </c>
      <c r="B17" s="101">
        <f>+' E TENENCIA 2016'!D$4*'COEF DIST TEN'!AN16</f>
        <v>1808791.1029691587</v>
      </c>
    </row>
    <row r="18" spans="1:2" x14ac:dyDescent="0.2">
      <c r="A18" s="100" t="s">
        <v>12</v>
      </c>
      <c r="B18" s="101">
        <f>+' E TENENCIA 2016'!D$4*'COEF DIST TEN'!AN17</f>
        <v>3923063.2714714315</v>
      </c>
    </row>
    <row r="19" spans="1:2" x14ac:dyDescent="0.2">
      <c r="A19" s="100" t="s">
        <v>13</v>
      </c>
      <c r="B19" s="101">
        <f>+' E TENENCIA 2016'!D$4*'COEF DIST TEN'!AN18</f>
        <v>2032369.6332850782</v>
      </c>
    </row>
    <row r="20" spans="1:2" x14ac:dyDescent="0.2">
      <c r="A20" s="100" t="s">
        <v>14</v>
      </c>
      <c r="B20" s="101">
        <f>+' E TENENCIA 2016'!D$4*'COEF DIST TEN'!AN19</f>
        <v>12845575.621983543</v>
      </c>
    </row>
    <row r="21" spans="1:2" x14ac:dyDescent="0.2">
      <c r="A21" s="100" t="s">
        <v>15</v>
      </c>
      <c r="B21" s="101">
        <f>+' E TENENCIA 2016'!D$4*'COEF DIST TEN'!AN20</f>
        <v>1598391.0803162961</v>
      </c>
    </row>
    <row r="22" spans="1:2" x14ac:dyDescent="0.2">
      <c r="A22" s="100" t="s">
        <v>16</v>
      </c>
      <c r="B22" s="101">
        <f>+' E TENENCIA 2016'!D$4*'COEF DIST TEN'!AN21</f>
        <v>618433.12638512591</v>
      </c>
    </row>
    <row r="23" spans="1:2" x14ac:dyDescent="0.2">
      <c r="A23" s="100" t="s">
        <v>17</v>
      </c>
      <c r="B23" s="101">
        <f>+' E TENENCIA 2016'!D$4*'COEF DIST TEN'!AN22</f>
        <v>9456244.7251289506</v>
      </c>
    </row>
    <row r="24" spans="1:2" x14ac:dyDescent="0.2">
      <c r="A24" s="100" t="s">
        <v>18</v>
      </c>
      <c r="B24" s="101">
        <f>+' E TENENCIA 2016'!D$4*'COEF DIST TEN'!AN23</f>
        <v>9626291.665708309</v>
      </c>
    </row>
    <row r="25" spans="1:2" x14ac:dyDescent="0.2">
      <c r="A25" s="100" t="s">
        <v>19</v>
      </c>
      <c r="B25" s="101">
        <f>+' E TENENCIA 2016'!D$4*'COEF DIST TEN'!AN24</f>
        <v>1507173.7096310894</v>
      </c>
    </row>
    <row r="26" spans="1:2" x14ac:dyDescent="0.2">
      <c r="A26" s="100" t="s">
        <v>20</v>
      </c>
      <c r="B26" s="101">
        <f>+' E TENENCIA 2016'!D$4*'COEF DIST TEN'!AN25</f>
        <v>25715435.800659847</v>
      </c>
    </row>
    <row r="27" spans="1:2" x14ac:dyDescent="0.2">
      <c r="A27" s="100" t="s">
        <v>21</v>
      </c>
      <c r="B27" s="101">
        <f>+' E TENENCIA 2016'!D$4*'COEF DIST TEN'!AN26</f>
        <v>3389155.5923738433</v>
      </c>
    </row>
    <row r="28" spans="1:2" x14ac:dyDescent="0.2">
      <c r="A28" s="100" t="s">
        <v>22</v>
      </c>
      <c r="B28" s="101">
        <f>+' E TENENCIA 2016'!D$4*'COEF DIST TEN'!AN27</f>
        <v>288086.82316663867</v>
      </c>
    </row>
    <row r="29" spans="1:2" x14ac:dyDescent="0.2">
      <c r="A29" s="100" t="s">
        <v>23</v>
      </c>
      <c r="B29" s="101">
        <f>+' E TENENCIA 2016'!D$4*'COEF DIST TEN'!AN28</f>
        <v>2783753.6106446534</v>
      </c>
    </row>
    <row r="30" spans="1:2" x14ac:dyDescent="0.2">
      <c r="A30" s="100" t="s">
        <v>24</v>
      </c>
      <c r="B30" s="101">
        <f>+' E TENENCIA 2016'!D$4*'COEF DIST TEN'!AN29</f>
        <v>2465954.9378442355</v>
      </c>
    </row>
    <row r="31" spans="1:2" x14ac:dyDescent="0.2">
      <c r="A31" s="100" t="s">
        <v>25</v>
      </c>
      <c r="B31" s="101">
        <f>+' E TENENCIA 2016'!D$4*'COEF DIST TEN'!AN30</f>
        <v>52403113.448536836</v>
      </c>
    </row>
    <row r="32" spans="1:2" x14ac:dyDescent="0.2">
      <c r="A32" s="100" t="s">
        <v>26</v>
      </c>
      <c r="B32" s="101">
        <f>+' E TENENCIA 2016'!D$4*'COEF DIST TEN'!AN31</f>
        <v>746909.17919969477</v>
      </c>
    </row>
    <row r="33" spans="1:2" x14ac:dyDescent="0.2">
      <c r="A33" s="100" t="s">
        <v>27</v>
      </c>
      <c r="B33" s="101">
        <f>+' E TENENCIA 2016'!D$4*'COEF DIST TEN'!AN32</f>
        <v>2059725.4875213436</v>
      </c>
    </row>
    <row r="34" spans="1:2" x14ac:dyDescent="0.2">
      <c r="A34" s="100" t="s">
        <v>28</v>
      </c>
      <c r="B34" s="101">
        <f>+' E TENENCIA 2016'!D$4*'COEF DIST TEN'!AN33</f>
        <v>1122038.7156728427</v>
      </c>
    </row>
    <row r="35" spans="1:2" x14ac:dyDescent="0.2">
      <c r="A35" s="100" t="s">
        <v>29</v>
      </c>
      <c r="B35" s="101">
        <f>+' E TENENCIA 2016'!D$4*'COEF DIST TEN'!AN34</f>
        <v>1286803.0110277114</v>
      </c>
    </row>
    <row r="36" spans="1:2" x14ac:dyDescent="0.2">
      <c r="A36" s="100" t="s">
        <v>30</v>
      </c>
      <c r="B36" s="101">
        <f>+' E TENENCIA 2016'!D$4*'COEF DIST TEN'!AN35</f>
        <v>1458429.60764945</v>
      </c>
    </row>
    <row r="37" spans="1:2" x14ac:dyDescent="0.2">
      <c r="A37" s="100" t="s">
        <v>31</v>
      </c>
      <c r="B37" s="101">
        <f>+' E TENENCIA 2016'!D$4*'COEF DIST TEN'!AN36</f>
        <v>11620867.052262757</v>
      </c>
    </row>
    <row r="38" spans="1:2" x14ac:dyDescent="0.2">
      <c r="A38" s="100" t="s">
        <v>32</v>
      </c>
      <c r="B38" s="101">
        <f>+' E TENENCIA 2016'!D$4*'COEF DIST TEN'!AN37</f>
        <v>2336572.7932731854</v>
      </c>
    </row>
    <row r="39" spans="1:2" x14ac:dyDescent="0.2">
      <c r="A39" s="100" t="s">
        <v>33</v>
      </c>
      <c r="B39" s="101">
        <f>+' E TENENCIA 2016'!D$4*'COEF DIST TEN'!AN38</f>
        <v>9829290.8697698507</v>
      </c>
    </row>
    <row r="40" spans="1:2" x14ac:dyDescent="0.2">
      <c r="A40" s="100" t="s">
        <v>34</v>
      </c>
      <c r="B40" s="101">
        <f>+' E TENENCIA 2016'!D$4*'COEF DIST TEN'!AN39</f>
        <v>2126000.625602501</v>
      </c>
    </row>
    <row r="41" spans="1:2" x14ac:dyDescent="0.2">
      <c r="A41" s="100" t="s">
        <v>35</v>
      </c>
      <c r="B41" s="101">
        <f>+' E TENENCIA 2016'!D$4*'COEF DIST TEN'!AN40</f>
        <v>1997401.8138095189</v>
      </c>
    </row>
    <row r="42" spans="1:2" x14ac:dyDescent="0.2">
      <c r="A42" s="100" t="s">
        <v>36</v>
      </c>
      <c r="B42" s="101">
        <f>+' E TENENCIA 2016'!D$4*'COEF DIST TEN'!AN41</f>
        <v>2060128.8567048351</v>
      </c>
    </row>
    <row r="43" spans="1:2" x14ac:dyDescent="0.2">
      <c r="A43" s="100" t="s">
        <v>37</v>
      </c>
      <c r="B43" s="101">
        <f>+' E TENENCIA 2016'!D$4*'COEF DIST TEN'!AN42</f>
        <v>2608049.9553242307</v>
      </c>
    </row>
    <row r="44" spans="1:2" x14ac:dyDescent="0.2">
      <c r="A44" s="100" t="s">
        <v>38</v>
      </c>
      <c r="B44" s="101">
        <f>+' E TENENCIA 2016'!D$4*'COEF DIST TEN'!AN43</f>
        <v>7092891.909515677</v>
      </c>
    </row>
    <row r="45" spans="1:2" x14ac:dyDescent="0.2">
      <c r="A45" s="100" t="s">
        <v>39</v>
      </c>
      <c r="B45" s="101">
        <f>+' E TENENCIA 2016'!D$4*'COEF DIST TEN'!AN44</f>
        <v>162088378.18613857</v>
      </c>
    </row>
    <row r="46" spans="1:2" x14ac:dyDescent="0.2">
      <c r="A46" s="100" t="s">
        <v>40</v>
      </c>
      <c r="B46" s="101">
        <f>+' E TENENCIA 2016'!D$4*'COEF DIST TEN'!AN45</f>
        <v>532888.83844629594</v>
      </c>
    </row>
    <row r="47" spans="1:2" x14ac:dyDescent="0.2">
      <c r="A47" s="100" t="s">
        <v>41</v>
      </c>
      <c r="B47" s="101">
        <f>+' E TENENCIA 2016'!D$4*'COEF DIST TEN'!AN46</f>
        <v>2131620.3949729702</v>
      </c>
    </row>
    <row r="48" spans="1:2" x14ac:dyDescent="0.2">
      <c r="A48" s="100" t="s">
        <v>42</v>
      </c>
      <c r="B48" s="101">
        <f>+' E TENENCIA 2016'!D$4*'COEF DIST TEN'!AN47</f>
        <v>1048239.5441999085</v>
      </c>
    </row>
    <row r="49" spans="1:2" x14ac:dyDescent="0.2">
      <c r="A49" s="100" t="s">
        <v>43</v>
      </c>
      <c r="B49" s="101">
        <f>+' E TENENCIA 2016'!D$4*'COEF DIST TEN'!AN48</f>
        <v>1691665.7030910298</v>
      </c>
    </row>
    <row r="50" spans="1:2" x14ac:dyDescent="0.2">
      <c r="A50" s="100" t="s">
        <v>44</v>
      </c>
      <c r="B50" s="101">
        <f>+' E TENENCIA 2016'!D$4*'COEF DIST TEN'!AN49</f>
        <v>3402444.3364927187</v>
      </c>
    </row>
    <row r="51" spans="1:2" x14ac:dyDescent="0.2">
      <c r="A51" s="100" t="s">
        <v>45</v>
      </c>
      <c r="B51" s="101">
        <f>+' E TENENCIA 2016'!D$4*'COEF DIST TEN'!AN50</f>
        <v>4145885.7808033256</v>
      </c>
    </row>
    <row r="52" spans="1:2" x14ac:dyDescent="0.2">
      <c r="A52" s="100" t="s">
        <v>46</v>
      </c>
      <c r="B52" s="101">
        <f>+' E TENENCIA 2016'!D$4*'COEF DIST TEN'!AN51</f>
        <v>42849449.689817145</v>
      </c>
    </row>
    <row r="53" spans="1:2" x14ac:dyDescent="0.2">
      <c r="A53" s="100" t="s">
        <v>47</v>
      </c>
      <c r="B53" s="101">
        <f>+' E TENENCIA 2016'!D$4*'COEF DIST TEN'!AN52</f>
        <v>45943971.731654577</v>
      </c>
    </row>
    <row r="54" spans="1:2" x14ac:dyDescent="0.2">
      <c r="A54" s="100" t="s">
        <v>48</v>
      </c>
      <c r="B54" s="101">
        <f>+' E TENENCIA 2016'!D$4*'COEF DIST TEN'!AN53</f>
        <v>19823941.859002676</v>
      </c>
    </row>
    <row r="55" spans="1:2" x14ac:dyDescent="0.2">
      <c r="A55" s="100" t="s">
        <v>49</v>
      </c>
      <c r="B55" s="101">
        <f>+' E TENENCIA 2016'!D$4*'COEF DIST TEN'!AN54</f>
        <v>4989419.0187712377</v>
      </c>
    </row>
    <row r="56" spans="1:2" x14ac:dyDescent="0.2">
      <c r="A56" s="100" t="s">
        <v>50</v>
      </c>
      <c r="B56" s="101">
        <f>+' E TENENCIA 2016'!D$4*'COEF DIST TEN'!AN55</f>
        <v>893195.52355013322</v>
      </c>
    </row>
    <row r="57" spans="1:2" ht="13.5" thickBot="1" x14ac:dyDescent="0.25">
      <c r="A57" s="100" t="s">
        <v>51</v>
      </c>
      <c r="B57" s="101">
        <f>+' E TENENCIA 2016'!D$4*'COEF DIST TEN'!AN56</f>
        <v>684926.21701283508</v>
      </c>
    </row>
    <row r="58" spans="1:2" ht="14.25" thickTop="1" thickBot="1" x14ac:dyDescent="0.25">
      <c r="A58" s="102" t="s">
        <v>52</v>
      </c>
      <c r="B58" s="103">
        <f>SUM(B7:B57)</f>
        <v>527449999.99999994</v>
      </c>
    </row>
    <row r="59" spans="1:2" ht="13.5" thickTop="1" x14ac:dyDescent="0.2">
      <c r="A59" s="104"/>
      <c r="B59" s="104"/>
    </row>
    <row r="60" spans="1:2" ht="16.5" customHeight="1" x14ac:dyDescent="0.2">
      <c r="A60" s="95" t="s">
        <v>120</v>
      </c>
    </row>
    <row r="61" spans="1:2" x14ac:dyDescent="0.2">
      <c r="A61" s="105"/>
    </row>
    <row r="64" spans="1:2" ht="16.5" customHeight="1" x14ac:dyDescent="0.2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0.15748031496062992" bottom="0.15748031496062992" header="0.15748031496062992" footer="0.15748031496062992"/>
  <pageSetup scale="92" orientation="portrait" horizontalDpi="1200" verticalDpi="1200" r:id="rId1"/>
  <headerFooter alignWithMargins="0">
    <oddHeader>&amp;LANEXO V</oddHeader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ISN 2014</vt:lpstr>
      <vt:lpstr>COEF Art 14 F I</vt:lpstr>
      <vt:lpstr>ESTIMACIÓN 2016</vt:lpstr>
      <vt:lpstr>Dist 2016 antes de Garantia</vt:lpstr>
      <vt:lpstr>CALCULO GARANTIA</vt:lpstr>
      <vt:lpstr>Estim ISN 2016 </vt:lpstr>
      <vt:lpstr>COEF DIST TEN</vt:lpstr>
      <vt:lpstr> E TENENCIA 2016</vt:lpstr>
      <vt:lpstr>Estim Tenencia 2016</vt:lpstr>
      <vt:lpstr>Estim Ctrl Vehi 2016</vt:lpstr>
      <vt:lpstr>' E TENENCIA 2016'!Área_de_impresión</vt:lpstr>
      <vt:lpstr>'CALCULO GARANTIA'!Área_de_impresión</vt:lpstr>
      <vt:lpstr>'COEF Art 14 F I'!Área_de_impresión</vt:lpstr>
      <vt:lpstr>'COEF DIST TEN'!Área_de_impresión</vt:lpstr>
      <vt:lpstr>'Dist 2016 antes de Garantia'!Área_de_impresión</vt:lpstr>
      <vt:lpstr>'Estim ISN 2016 '!Área_de_impresión</vt:lpstr>
      <vt:lpstr>'Estim Tenencia 2016'!Área_de_impresión</vt:lpstr>
      <vt:lpstr>'ESTIMACIÓN 2016'!Área_de_impresión</vt:lpstr>
      <vt:lpstr>'ISN 2014'!Área_de_impresión</vt:lpstr>
      <vt:lpstr>'COEF Art 14 F I'!Títulos_a_imprimir</vt:lpstr>
      <vt:lpstr>'COEF DIST TEN'!Títulos_a_imprimir</vt:lpstr>
      <vt:lpstr>'Dist 2016 antes de Garantia'!Títulos_a_imprimir</vt:lpstr>
      <vt:lpstr>'Estim ISN 2016 '!Títulos_a_imprimir</vt:lpstr>
      <vt:lpstr>'Estim Tenencia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César Gabriel Rivera Cantú</cp:lastModifiedBy>
  <cp:lastPrinted>2016-01-28T20:53:59Z</cp:lastPrinted>
  <dcterms:created xsi:type="dcterms:W3CDTF">2009-12-17T23:31:03Z</dcterms:created>
  <dcterms:modified xsi:type="dcterms:W3CDTF">2016-02-11T18:34:39Z</dcterms:modified>
</cp:coreProperties>
</file>